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0215" windowHeight="4815"/>
  </bookViews>
  <sheets>
    <sheet name="Transporte de Resíduos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</sheets>
  <definedNames>
    <definedName name="AbaDeprec">'5. Depreciação'!$A$1</definedName>
    <definedName name="AbaRemun">'6.Remuneração de capital'!$A$1</definedName>
    <definedName name="Google_Sheet_Link_283154434" hidden="1">AbaDeprec</definedName>
    <definedName name="Google_Sheet_Link_607211784" hidden="1">AbaRemun</definedName>
  </definedNames>
  <calcPr calcId="144525"/>
  <extLst>
    <ext uri="GoogleSheetsCustomDataVersion2">
      <go:sheetsCustomData xmlns:go="http://customooxmlschemas.google.com/" r:id="rId10" roundtripDataChecksum="sAOV4xML5pPCMSKQMhRLQLmjVnGKhhM+0whG6CvN5mQ="/>
    </ext>
  </extLst>
</workbook>
</file>

<file path=xl/calcChain.xml><?xml version="1.0" encoding="utf-8"?>
<calcChain xmlns="http://schemas.openxmlformats.org/spreadsheetml/2006/main">
  <c r="C20" i="4" l="1"/>
  <c r="C287" i="1" s="1"/>
  <c r="F13" i="4"/>
  <c r="E13" i="4"/>
  <c r="D13" i="4"/>
  <c r="C22" i="3"/>
  <c r="C24" i="3" s="1"/>
  <c r="C20" i="3"/>
  <c r="C16" i="2"/>
  <c r="C13" i="2"/>
  <c r="F280" i="1"/>
  <c r="E279" i="1"/>
  <c r="E270" i="1"/>
  <c r="E268" i="1"/>
  <c r="D269" i="1" s="1"/>
  <c r="E269" i="1" s="1"/>
  <c r="C268" i="1"/>
  <c r="E266" i="1"/>
  <c r="D267" i="1" s="1"/>
  <c r="E267" i="1" s="1"/>
  <c r="C266" i="1"/>
  <c r="C258" i="1"/>
  <c r="D257" i="1"/>
  <c r="E257" i="1" s="1"/>
  <c r="D258" i="1" s="1"/>
  <c r="E256" i="1"/>
  <c r="E254" i="1"/>
  <c r="D243" i="1"/>
  <c r="D241" i="1"/>
  <c r="D239" i="1"/>
  <c r="D237" i="1"/>
  <c r="D235" i="1"/>
  <c r="C235" i="1"/>
  <c r="E235" i="1" s="1"/>
  <c r="D233" i="1"/>
  <c r="D244" i="1" s="1"/>
  <c r="C233" i="1"/>
  <c r="C243" i="1" s="1"/>
  <c r="E243" i="1" s="1"/>
  <c r="E225" i="1"/>
  <c r="E223" i="1"/>
  <c r="C223" i="1"/>
  <c r="C222" i="1"/>
  <c r="E222" i="1" s="1"/>
  <c r="D221" i="1"/>
  <c r="C221" i="1"/>
  <c r="E221" i="1" s="1"/>
  <c r="D224" i="1" s="1"/>
  <c r="E224" i="1" s="1"/>
  <c r="F225" i="1" s="1"/>
  <c r="E24" i="1" s="1"/>
  <c r="E217" i="1"/>
  <c r="C216" i="1"/>
  <c r="C211" i="1"/>
  <c r="E210" i="1"/>
  <c r="D210" i="1"/>
  <c r="C210" i="1"/>
  <c r="E205" i="1"/>
  <c r="D205" i="1"/>
  <c r="E201" i="1"/>
  <c r="C197" i="1"/>
  <c r="E194" i="1"/>
  <c r="C212" i="1" s="1"/>
  <c r="C213" i="1" s="1"/>
  <c r="C192" i="1"/>
  <c r="E192" i="1" s="1"/>
  <c r="D193" i="1" s="1"/>
  <c r="E193" i="1" s="1"/>
  <c r="E189" i="1"/>
  <c r="D192" i="1" s="1"/>
  <c r="E183" i="1"/>
  <c r="F184" i="1" s="1"/>
  <c r="C179" i="1"/>
  <c r="E179" i="1" s="1"/>
  <c r="F180" i="1" s="1"/>
  <c r="E20" i="1" s="1"/>
  <c r="E177" i="1"/>
  <c r="C177" i="1"/>
  <c r="E175" i="1"/>
  <c r="D178" i="1" s="1"/>
  <c r="E178" i="1" s="1"/>
  <c r="D179" i="1" s="1"/>
  <c r="C170" i="1"/>
  <c r="E170" i="1" s="1"/>
  <c r="F171" i="1" s="1"/>
  <c r="D164" i="1"/>
  <c r="D162" i="1"/>
  <c r="D160" i="1"/>
  <c r="D158" i="1"/>
  <c r="E156" i="1"/>
  <c r="D156" i="1"/>
  <c r="C156" i="1"/>
  <c r="E154" i="1"/>
  <c r="D154" i="1"/>
  <c r="D165" i="1" s="1"/>
  <c r="C154" i="1"/>
  <c r="C162" i="1" s="1"/>
  <c r="E162" i="1" s="1"/>
  <c r="E146" i="1"/>
  <c r="E144" i="1"/>
  <c r="C144" i="1"/>
  <c r="E143" i="1"/>
  <c r="C143" i="1"/>
  <c r="C142" i="1"/>
  <c r="E138" i="1"/>
  <c r="C137" i="1"/>
  <c r="C132" i="1"/>
  <c r="D131" i="1"/>
  <c r="C131" i="1"/>
  <c r="E131" i="1" s="1"/>
  <c r="D126" i="1"/>
  <c r="E126" i="1" s="1"/>
  <c r="E122" i="1"/>
  <c r="D118" i="1"/>
  <c r="C118" i="1"/>
  <c r="E118" i="1" s="1"/>
  <c r="D119" i="1" s="1"/>
  <c r="E119" i="1" s="1"/>
  <c r="E115" i="1"/>
  <c r="C133" i="1" s="1"/>
  <c r="C134" i="1" s="1"/>
  <c r="D135" i="1" s="1"/>
  <c r="E135" i="1" s="1"/>
  <c r="D113" i="1"/>
  <c r="C113" i="1"/>
  <c r="C128" i="1" s="1"/>
  <c r="E110" i="1"/>
  <c r="E100" i="1"/>
  <c r="E98" i="1"/>
  <c r="E97" i="1"/>
  <c r="E96" i="1"/>
  <c r="E95" i="1"/>
  <c r="E94" i="1"/>
  <c r="E93" i="1"/>
  <c r="E92" i="1"/>
  <c r="E91" i="1"/>
  <c r="E90" i="1"/>
  <c r="E89" i="1"/>
  <c r="E88" i="1"/>
  <c r="D99" i="1" s="1"/>
  <c r="E79" i="1"/>
  <c r="F79" i="1" s="1"/>
  <c r="E78" i="1"/>
  <c r="A78" i="1"/>
  <c r="E75" i="1"/>
  <c r="C72" i="1"/>
  <c r="D67" i="1"/>
  <c r="E67" i="1" s="1"/>
  <c r="E66" i="1"/>
  <c r="D66" i="1"/>
  <c r="E64" i="1"/>
  <c r="E61" i="1"/>
  <c r="D53" i="1"/>
  <c r="E53" i="1" s="1"/>
  <c r="E52" i="1"/>
  <c r="D52" i="1"/>
  <c r="E50" i="1"/>
  <c r="E41" i="1"/>
  <c r="A41" i="1"/>
  <c r="E40" i="1"/>
  <c r="A40" i="1"/>
  <c r="E35" i="1"/>
  <c r="E37" i="1" s="1"/>
  <c r="C99" i="1" s="1"/>
  <c r="A35" i="1"/>
  <c r="A29" i="1"/>
  <c r="A28" i="1"/>
  <c r="A27" i="1"/>
  <c r="A26" i="1"/>
  <c r="A25" i="1"/>
  <c r="A24" i="1"/>
  <c r="A22" i="1"/>
  <c r="E21" i="1"/>
  <c r="A21" i="1"/>
  <c r="A20" i="1"/>
  <c r="E19" i="1"/>
  <c r="A19" i="1"/>
  <c r="A18" i="1"/>
  <c r="A17" i="1"/>
  <c r="A14" i="1"/>
  <c r="A13" i="1"/>
  <c r="A12" i="1"/>
  <c r="A11" i="1"/>
  <c r="E10" i="1"/>
  <c r="A10" i="1"/>
  <c r="E9" i="1"/>
  <c r="A9" i="1"/>
  <c r="A8" i="1"/>
  <c r="A7" i="1"/>
  <c r="F166" i="1" l="1"/>
  <c r="E18" i="1" s="1"/>
  <c r="D214" i="1"/>
  <c r="E214" i="1" s="1"/>
  <c r="C30" i="3"/>
  <c r="C23" i="2" s="1"/>
  <c r="C25" i="3"/>
  <c r="E99" i="1"/>
  <c r="F100" i="1" s="1"/>
  <c r="F102" i="1" s="1"/>
  <c r="E12" i="1" s="1"/>
  <c r="E258" i="1"/>
  <c r="F259" i="1" s="1"/>
  <c r="E27" i="1" s="1"/>
  <c r="F270" i="1"/>
  <c r="F272" i="1" s="1"/>
  <c r="E11" i="1"/>
  <c r="D54" i="1"/>
  <c r="E54" i="1" s="1"/>
  <c r="D56" i="1" s="1"/>
  <c r="E56" i="1" s="1"/>
  <c r="E57" i="1" s="1"/>
  <c r="C129" i="1"/>
  <c r="D130" i="1" s="1"/>
  <c r="E130" i="1" s="1"/>
  <c r="E136" i="1" s="1"/>
  <c r="D137" i="1" s="1"/>
  <c r="E137" i="1" s="1"/>
  <c r="F138" i="1" s="1"/>
  <c r="E16" i="1" s="1"/>
  <c r="D68" i="1"/>
  <c r="E68" i="1" s="1"/>
  <c r="D70" i="1" s="1"/>
  <c r="E70" i="1" s="1"/>
  <c r="E71" i="1" s="1"/>
  <c r="E142" i="1"/>
  <c r="D145" i="1" s="1"/>
  <c r="E145" i="1" s="1"/>
  <c r="F146" i="1" s="1"/>
  <c r="E17" i="1" s="1"/>
  <c r="E197" i="1"/>
  <c r="D198" i="1" s="1"/>
  <c r="E198" i="1" s="1"/>
  <c r="E199" i="1" s="1"/>
  <c r="D200" i="1" s="1"/>
  <c r="E200" i="1" s="1"/>
  <c r="F201" i="1" s="1"/>
  <c r="D142" i="1"/>
  <c r="E113" i="1"/>
  <c r="D114" i="1" s="1"/>
  <c r="E114" i="1" s="1"/>
  <c r="E120" i="1" s="1"/>
  <c r="D121" i="1" s="1"/>
  <c r="E121" i="1" s="1"/>
  <c r="F122" i="1" s="1"/>
  <c r="C160" i="1"/>
  <c r="E160" i="1" s="1"/>
  <c r="C164" i="1"/>
  <c r="E164" i="1" s="1"/>
  <c r="C237" i="1"/>
  <c r="E237" i="1" s="1"/>
  <c r="C241" i="1"/>
  <c r="E241" i="1" s="1"/>
  <c r="C207" i="1"/>
  <c r="C208" i="1" s="1"/>
  <c r="D209" i="1" s="1"/>
  <c r="E209" i="1" s="1"/>
  <c r="E215" i="1" s="1"/>
  <c r="D216" i="1" s="1"/>
  <c r="E216" i="1" s="1"/>
  <c r="F217" i="1" s="1"/>
  <c r="E23" i="1" s="1"/>
  <c r="C158" i="1"/>
  <c r="E158" i="1" s="1"/>
  <c r="D197" i="1"/>
  <c r="E233" i="1"/>
  <c r="C249" i="1"/>
  <c r="E249" i="1" s="1"/>
  <c r="F250" i="1" s="1"/>
  <c r="E26" i="1" s="1"/>
  <c r="C23" i="3"/>
  <c r="C27" i="2" s="1"/>
  <c r="C239" i="1"/>
  <c r="E239" i="1" s="1"/>
  <c r="D72" i="1" l="1"/>
  <c r="E72" i="1" s="1"/>
  <c r="E73" i="1" s="1"/>
  <c r="D74" i="1" s="1"/>
  <c r="E74" i="1" s="1"/>
  <c r="F75" i="1" s="1"/>
  <c r="D58" i="1"/>
  <c r="C26" i="2"/>
  <c r="F245" i="1"/>
  <c r="E25" i="1" s="1"/>
  <c r="E15" i="1"/>
  <c r="C31" i="2"/>
  <c r="C25" i="2"/>
  <c r="C28" i="2" s="1"/>
  <c r="E28" i="1"/>
  <c r="C24" i="2"/>
  <c r="C15" i="2"/>
  <c r="C21" i="2" s="1"/>
  <c r="C30" i="2" s="1"/>
  <c r="E14" i="1" l="1"/>
  <c r="F261" i="1"/>
  <c r="C32" i="2"/>
  <c r="C33" i="2" s="1"/>
  <c r="C58" i="1" s="1"/>
  <c r="E22" i="1"/>
  <c r="E58" i="1"/>
  <c r="E59" i="1" s="1"/>
  <c r="D60" i="1" s="1"/>
  <c r="E60" i="1" s="1"/>
  <c r="F61" i="1" s="1"/>
  <c r="E8" i="1" s="1"/>
  <c r="F81" i="1" l="1"/>
  <c r="E7" i="1" s="1"/>
  <c r="E13" i="1"/>
  <c r="F274" i="1"/>
  <c r="F282" i="1" s="1"/>
  <c r="D287" i="1" l="1"/>
  <c r="E287" i="1" s="1"/>
  <c r="F288" i="1" s="1"/>
  <c r="E29" i="1" s="1"/>
  <c r="F290" i="1" l="1"/>
  <c r="E30" i="1"/>
  <c r="F9" i="1" l="1"/>
  <c r="F19" i="1"/>
  <c r="F10" i="1"/>
  <c r="F20" i="1"/>
  <c r="F24" i="1"/>
  <c r="F21" i="1"/>
  <c r="F27" i="1"/>
  <c r="F11" i="1"/>
  <c r="F12" i="1"/>
  <c r="F17" i="1"/>
  <c r="F16" i="1"/>
  <c r="F26" i="1"/>
  <c r="F23" i="1"/>
  <c r="F18" i="1"/>
  <c r="F25" i="1"/>
  <c r="F28" i="1"/>
  <c r="F15" i="1"/>
  <c r="F8" i="1"/>
  <c r="F14" i="1"/>
  <c r="F22" i="1"/>
  <c r="F13" i="1"/>
  <c r="F7" i="1"/>
  <c r="F29" i="1"/>
  <c r="F30" i="1" l="1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scheme val="minor"/>
          </rPr>
          <t>======
ID#AAAA2nTs0xY
Clauber Bridi    (2022-03-22 18:28:24)
Qualquer custo previsto no edital e não contemplado nesta planilha modelo deverá ser devidamente incluído</t>
        </r>
      </text>
    </comment>
    <comment ref="B44" authorId="0">
      <text>
        <r>
          <rPr>
            <sz val="10"/>
            <color rgb="FF000000"/>
            <rFont val="Arial"/>
            <scheme val="minor"/>
          </rPr>
          <t>======
ID#AAAA2ne6GmQ
Clauber Bridi    (2022-03-22 18:28:24)
Informar o fator de utilização das equipes de coleta. 
Por exemplo:
Equipes com utilização integral = 100%
Equipes com utilização parcial = n° horas trabalhadas por semana /44 horas</t>
        </r>
      </text>
    </comment>
    <comment ref="D50" authorId="0">
      <text>
        <r>
          <rPr>
            <sz val="10"/>
            <color rgb="FF000000"/>
            <rFont val="Arial"/>
            <scheme val="minor"/>
          </rPr>
          <t>======
ID#AAAA2nTs0xw
Clauber Bridi    (2022-03-22 18:28:24)
Informar o Piso da categoria fixado na Convenção Coletiva</t>
        </r>
      </text>
    </comment>
    <comment ref="D51" authorId="0">
      <text>
        <r>
          <rPr>
            <sz val="10"/>
            <color rgb="FF000000"/>
            <rFont val="Arial"/>
            <scheme val="minor"/>
          </rPr>
          <t>======
ID#AAAA2nTsaOQ
Clauber Bridi    (2022-03-22 18:28:24)
Informar o valor do salário Mínimo Nacional</t>
        </r>
      </text>
    </comment>
    <comment ref="C52" authorId="0">
      <text>
        <r>
          <rPr>
            <sz val="10"/>
            <color rgb="FF000000"/>
            <rFont val="Arial"/>
            <scheme val="minor"/>
          </rPr>
          <t>======
ID#AAAA2nTs0wY
Clauber Bridi    (2022-03-22 18:28:24)
Informar o número de horas extras trabalhadas em horário diurno nos domingos e feriados</t>
        </r>
      </text>
    </comment>
    <comment ref="C53" authorId="0">
      <text>
        <r>
          <rPr>
            <sz val="10"/>
            <color rgb="FF000000"/>
            <rFont val="Arial"/>
            <scheme val="minor"/>
          </rPr>
          <t>======
ID#AAAA2nTs0xI
Clauber Bridi    (2022-03-22 18:28:24)
Informar o número de horas extras trabalhadas em horário diurno de segunda a sábado</t>
        </r>
      </text>
    </comment>
    <comment ref="A54" authorId="0">
      <text>
        <r>
          <rPr>
            <sz val="10"/>
            <color rgb="FF000000"/>
            <rFont val="Arial"/>
            <scheme val="minor"/>
          </rPr>
          <t>======
ID#AAAA2ne6Gm0
Clauber Bridi    (2022-03-22 18:28:24)
Cálculo do descanso semanal remunerado incidente sobre as horas extras habitualmente prestadas. Considerada a média de 63 feriados + domingos e 302 dias trabalhados por ano</t>
        </r>
      </text>
    </comment>
    <comment ref="C55" authorId="0">
      <text>
        <r>
          <rPr>
            <sz val="10"/>
            <color rgb="FF000000"/>
            <rFont val="Arial"/>
            <scheme val="minor"/>
          </rPr>
          <t>======
ID#AAAA2nTky_w
Clauber Bridi    (2022-03-22 18:28:24)
Informar 1 se a base de cálculo for o Salário Mínimo Nacional; Informar 2 se a base de cálculo for o Piso da Categoria;</t>
        </r>
      </text>
    </comment>
    <comment ref="C56" authorId="0">
      <text>
        <r>
          <rPr>
            <sz val="10"/>
            <color rgb="FF000000"/>
            <rFont val="Arial"/>
            <scheme val="minor"/>
          </rPr>
          <t>======
ID#AAAA2nTky_o
Clauber Bridi    (2022-03-22 18:28:24)
Percentual estabelecido nas Normas de Segurança de Trabalho ou pelo laudo de responsável técnico devidamente habilitado</t>
        </r>
      </text>
    </comment>
    <comment ref="C58" authorId="0">
      <text>
        <r>
          <rPr>
            <sz val="10"/>
            <color rgb="FF000000"/>
            <rFont val="Arial"/>
            <scheme val="minor"/>
          </rPr>
          <t>======
ID#AAAA2ne6GmU
Clauber Bridi    (2022-03-22 18:28:24)
Preencher a planilha Encargos Sociais e CAGED</t>
        </r>
      </text>
    </comment>
    <comment ref="C60" authorId="0">
      <text>
        <r>
          <rPr>
            <sz val="10"/>
            <color rgb="FF000000"/>
            <rFont val="Arial"/>
            <scheme val="minor"/>
          </rPr>
          <t>======
ID#AAAA2nTs0w4
Clauber Bridi    (2022-03-22 18:28:24)
Informar a quantidade de trabalhadores na função</t>
        </r>
      </text>
    </comment>
    <comment ref="D66" authorId="0">
      <text>
        <r>
          <rPr>
            <sz val="10"/>
            <color rgb="FF000000"/>
            <rFont val="Arial"/>
            <scheme val="minor"/>
          </rPr>
          <t>======
ID#AAAA2nTsaNw
Clauber Bridi    (2022-03-22 18:28:24)
Informar o valor unitário do VT no município</t>
        </r>
      </text>
    </comment>
    <comment ref="C67" authorId="0">
      <text>
        <r>
          <rPr>
            <sz val="10"/>
            <color rgb="FF000000"/>
            <rFont val="Arial"/>
            <scheme val="minor"/>
          </rPr>
          <t>======
ID#AAAA2nTs0w8
Clauber Bridi    (2022-03-22 18:28:24)
Informar o número médio de dias trabalhados por mês</t>
        </r>
      </text>
    </comment>
    <comment ref="D68" authorId="0">
      <text>
        <r>
          <rPr>
            <sz val="10"/>
            <color rgb="FF000000"/>
            <rFont val="Arial"/>
            <scheme val="minor"/>
          </rPr>
          <t>======
ID#AAAA2nTs0wk
Clauber Bridi    (2022-03-22 18:28:24)
Valor Unitário considerando o desconto legal de até 6% do salário</t>
        </r>
      </text>
    </comment>
    <comment ref="D73" authorId="0">
      <text>
        <r>
          <rPr>
            <sz val="10"/>
            <color rgb="FF000000"/>
            <rFont val="Arial"/>
            <scheme val="minor"/>
          </rPr>
          <t>======
ID#AAAA2nTs0xc
Clauber Bridi    (2022-03-22 18:28:24)
Informar o valor unitário diário do vale refeição, considerando o desconto aplicável ao funcionário, conforme Convenção Coletiva da categoria.</t>
        </r>
      </text>
    </comment>
    <comment ref="D78" authorId="0">
      <text>
        <r>
          <rPr>
            <sz val="10"/>
            <color rgb="FF000000"/>
            <rFont val="Arial"/>
            <scheme val="minor"/>
          </rPr>
          <t>======
ID#AAAA2nTky_U
Clauber Bridi    (2022-03-22 18:28:24)
Informar o valor mensal do auxilio alimentação, considerando o desconto aplicável ao funcionário, conforme Convenção Coletiva da categoria</t>
        </r>
      </text>
    </comment>
    <comment ref="C88" authorId="0">
      <text>
        <r>
          <rPr>
            <sz val="10"/>
            <color rgb="FF000000"/>
            <rFont val="Arial"/>
            <scheme val="minor"/>
          </rPr>
          <t>======
ID#AAAA2nTs0xs
Clauber Bridi    (2022-03-22 18:28:24)
Informar a durabilidade estimada em meses, para cada EPI</t>
        </r>
      </text>
    </comment>
    <comment ref="D88" authorId="0">
      <text>
        <r>
          <rPr>
            <sz val="10"/>
            <color rgb="FF000000"/>
            <rFont val="Arial"/>
            <scheme val="minor"/>
          </rPr>
          <t>======
ID#AAAA2nTs0wo
Clauber Bridi    (2022-03-22 18:28:24)
Informar o valor unitário estimado para aquisição de cada EPI</t>
        </r>
      </text>
    </comment>
    <comment ref="C89" authorId="0">
      <text>
        <r>
          <rPr>
            <sz val="10"/>
            <color rgb="FF000000"/>
            <rFont val="Arial"/>
            <scheme val="minor"/>
          </rPr>
          <t>======
ID#AAAA2ne6Gmc
Clauber Bridi    (2022-03-22 18:28:24)
Informar a durabilidade estimada em meses, para cada EPI</t>
        </r>
      </text>
    </comment>
    <comment ref="D89" authorId="0">
      <text>
        <r>
          <rPr>
            <sz val="10"/>
            <color rgb="FF000000"/>
            <rFont val="Arial"/>
            <scheme val="minor"/>
          </rPr>
          <t>======
ID#AAAA2nTsaN0
Clauber Bridi    (2022-03-22 18:28:24)
Informar o valor unitário estimado para aquisição de cada EPI</t>
        </r>
      </text>
    </comment>
    <comment ref="C90" authorId="0">
      <text>
        <r>
          <rPr>
            <sz val="10"/>
            <color rgb="FF000000"/>
            <rFont val="Arial"/>
            <scheme val="minor"/>
          </rPr>
          <t>======
ID#AAAA2ne6Gms
Clauber Bridi    (2022-03-22 18:28:24)
Informar a durabilidade estimada em meses, para cada EPI</t>
        </r>
      </text>
    </comment>
    <comment ref="D90" authorId="0">
      <text>
        <r>
          <rPr>
            <sz val="10"/>
            <color rgb="FF000000"/>
            <rFont val="Arial"/>
            <scheme val="minor"/>
          </rPr>
          <t>======
ID#AAAA2nTky_c
Clauber Bridi    (2022-03-22 18:28:24)
Informar o valor unitário estimado para aquisição de cada EPI</t>
        </r>
      </text>
    </comment>
    <comment ref="C91" authorId="0">
      <text>
        <r>
          <rPr>
            <sz val="10"/>
            <color rgb="FF000000"/>
            <rFont val="Arial"/>
            <scheme val="minor"/>
          </rPr>
          <t>======
ID#AAAA2nTs0x0
Clauber Bridi    (2022-03-22 18:28:24)
Informar a durabilidade estimada em meses, para cada EPI</t>
        </r>
      </text>
    </comment>
    <comment ref="D91" authorId="0">
      <text>
        <r>
          <rPr>
            <sz val="10"/>
            <color rgb="FF000000"/>
            <rFont val="Arial"/>
            <scheme val="minor"/>
          </rPr>
          <t>======
ID#AAAA2nTs0yI
Clauber Bridi    (2022-03-22 18:28:24)
Informar o valor unitário estimado para aquisição de cada EPI</t>
        </r>
      </text>
    </comment>
    <comment ref="C92" authorId="0">
      <text>
        <r>
          <rPr>
            <sz val="10"/>
            <color rgb="FF000000"/>
            <rFont val="Arial"/>
            <scheme val="minor"/>
          </rPr>
          <t>======
ID#AAAA2nTs0yA
Clauber Bridi    (2022-03-22 18:28:24)
Informar a durabilidade estimada em meses, para cada EPI</t>
        </r>
      </text>
    </comment>
    <comment ref="D92" authorId="0">
      <text>
        <r>
          <rPr>
            <sz val="10"/>
            <color rgb="FF000000"/>
            <rFont val="Arial"/>
            <scheme val="minor"/>
          </rPr>
          <t>======
ID#AAAA2nTsaOA
Clauber Bridi    (2022-03-22 18:28:24)
Informar o valor unitário estimado para aquisição de cada EPI</t>
        </r>
      </text>
    </comment>
    <comment ref="C93" authorId="0">
      <text>
        <r>
          <rPr>
            <sz val="10"/>
            <color rgb="FF000000"/>
            <rFont val="Arial"/>
            <scheme val="minor"/>
          </rPr>
          <t>======
ID#AAAA2nTsaOk
Clauber Bridi    (2022-03-22 18:28:24)
Informar a durabilidade estimada em meses, para cada EPI</t>
        </r>
      </text>
    </comment>
    <comment ref="D93" authorId="0">
      <text>
        <r>
          <rPr>
            <sz val="10"/>
            <color rgb="FF000000"/>
            <rFont val="Arial"/>
            <scheme val="minor"/>
          </rPr>
          <t>======
ID#AAAA2nTky_I
Clauber Bridi    (2022-03-22 18:28:24)
Informar o valor unitário estimado para aquisição de cada EPI</t>
        </r>
      </text>
    </comment>
    <comment ref="C94" authorId="0">
      <text>
        <r>
          <rPr>
            <sz val="10"/>
            <color rgb="FF000000"/>
            <rFont val="Arial"/>
            <scheme val="minor"/>
          </rPr>
          <t>======
ID#AAAA2nTsaOU
Clauber Bridi    (2022-03-22 18:28:24)
Informar a durabilidade estimada em meses, para cada EPI</t>
        </r>
      </text>
    </comment>
    <comment ref="D94" authorId="0">
      <text>
        <r>
          <rPr>
            <sz val="10"/>
            <color rgb="FF000000"/>
            <rFont val="Arial"/>
            <scheme val="minor"/>
          </rPr>
          <t>======
ID#AAAA2nTky_4
Clauber Bridi    (2022-03-22 18:28:24)
Informar o valor unitário estimado para aquisição de cada EPI</t>
        </r>
      </text>
    </comment>
    <comment ref="C97" authorId="0">
      <text>
        <r>
          <rPr>
            <sz val="10"/>
            <color rgb="FF000000"/>
            <rFont val="Arial"/>
            <scheme val="minor"/>
          </rPr>
          <t>======
ID#AAAA2ne6GmM
Clauber Bridi    (2022-03-22 18:28:24)
Informar a durabilidade estimada em meses, para cada EPI</t>
        </r>
      </text>
    </comment>
    <comment ref="D97" authorId="0">
      <text>
        <r>
          <rPr>
            <sz val="10"/>
            <color rgb="FF000000"/>
            <rFont val="Arial"/>
            <scheme val="minor"/>
          </rPr>
          <t>======
ID#AAAA2nTs0wg
Clauber Bridi    (2022-03-22 18:28:24)
Informar o valor unitário estimado para aquisição de cada EPI</t>
        </r>
      </text>
    </comment>
    <comment ref="D98" authorId="0">
      <text>
        <r>
          <rPr>
            <sz val="10"/>
            <color rgb="FF000000"/>
            <rFont val="Arial"/>
            <scheme val="minor"/>
          </rPr>
          <t>======
ID#AAAA2nTsaN4
Clauber Bridi    (2022-03-22 18:28:24)
Informar o valor mensal de higienização de uniforme para 1 funcionário</t>
        </r>
      </text>
    </comment>
    <comment ref="D110" authorId="0">
      <text>
        <r>
          <rPr>
            <sz val="10"/>
            <color rgb="FF000000"/>
            <rFont val="Arial"/>
            <scheme val="minor"/>
          </rPr>
          <t>======
ID#AAAA2nTs0ww
Clauber Bridi    (2022-03-22 18:28:24)
Informar o preço unitário do chassis do caminhão de coleta</t>
        </r>
      </text>
    </comment>
    <comment ref="C111" authorId="0">
      <text>
        <r>
          <rPr>
            <sz val="10"/>
            <color rgb="FF000000"/>
            <rFont val="Arial"/>
            <scheme val="minor"/>
          </rPr>
          <t>======
ID#AAAA2nTky_g
Clauber Bridi    (2022-03-22 18:28:24)
Informar a vida útil estimada para o caminhão, em anos</t>
        </r>
      </text>
    </comment>
    <comment ref="C112" authorId="0">
      <text>
        <r>
          <rPr>
            <sz val="10"/>
            <color rgb="FF000000"/>
            <rFont val="Arial"/>
            <scheme val="minor"/>
          </rPr>
          <t>======
ID#AAAA2nTky_s
Clauber Bridi    (2022-03-22 18:28:24)
Na elaboração do orçamento-base da licitação, informar 0 (zero). Na proposta da licitante, informar a idade do veículo proposto.</t>
        </r>
      </text>
    </comment>
    <comment ref="C113" authorId="0">
      <text>
        <r>
          <rPr>
            <sz val="10"/>
            <color rgb="FF000000"/>
            <rFont val="Arial"/>
            <scheme val="minor"/>
          </rPr>
          <t>======
ID#AAAA2nTsaN8
Clauber Bridi    (2022-03-22 18:28:24)
Informar o valor da depreciação do caminhão, adotando o valor sugerido pelo TCE ou outro valor estimado</t>
        </r>
      </text>
    </comment>
    <comment ref="D115" authorId="0">
      <text>
        <r>
          <rPr>
            <sz val="10"/>
            <color rgb="FF000000"/>
            <rFont val="Arial"/>
            <scheme val="minor"/>
          </rPr>
          <t>======
ID#AAAA2nTs0wQ
Clauber Bridi    (2022-03-22 18:28:24)
Informar o preço unitário do equipamento compactador</t>
        </r>
      </text>
    </comment>
    <comment ref="C116" authorId="0">
      <text>
        <r>
          <rPr>
            <sz val="10"/>
            <color rgb="FF000000"/>
            <rFont val="Arial"/>
            <scheme val="minor"/>
          </rPr>
          <t>======
ID#AAAA2nTs0yM
Clauber Bridi    (2022-03-22 18:28:24)
Informar a vida útil estimada para o compactador, em anos</t>
        </r>
      </text>
    </comment>
    <comment ref="C117" authorId="0">
      <text>
        <r>
          <rPr>
            <sz val="10"/>
            <color rgb="FF000000"/>
            <rFont val="Arial"/>
            <scheme val="minor"/>
          </rPr>
          <t>======
ID#AAAA2nTs0xQ
Clauber Bridi    (2022-03-22 18:28:24)
Na elaboração do orçamento-base da licitação, informar 0 (zero). Na proposta da licitante, informar a idade do compactador proposto.</t>
        </r>
      </text>
    </comment>
    <comment ref="C118" authorId="0">
      <text>
        <r>
          <rPr>
            <sz val="10"/>
            <color rgb="FF000000"/>
            <rFont val="Arial"/>
            <scheme val="minor"/>
          </rPr>
          <t>======
ID#AAAA2nTsaOI
Clauber Bridi    (2022-03-22 18:28:24)
Informar o valor da depreciação do compactador, adotando o valor sugerido pelo TCE ou outro valor estimado</t>
        </r>
      </text>
    </comment>
    <comment ref="C121" authorId="0">
      <text>
        <r>
          <rPr>
            <sz val="10"/>
            <color rgb="FF000000"/>
            <rFont val="Arial"/>
            <scheme val="minor"/>
          </rPr>
          <t>======
ID#AAAA2nTs0ws
Clauber Bridi    (2022-03-22 18:28:24)
Informar a quantidade de caminhões compactadores do respectivo modelo</t>
        </r>
      </text>
    </comment>
    <comment ref="C127" authorId="0">
      <text>
        <r>
          <rPr>
            <sz val="10"/>
            <color rgb="FF000000"/>
            <rFont val="Arial"/>
            <scheme val="minor"/>
          </rPr>
          <t>======
ID#AAAA2nTs0xA
Clauber Bridi    (2022-03-22 18:28:24)
Informar a taxa de juros anual para remuneração do capital. Recomenda-se o uso da Taxa SELIC</t>
        </r>
      </text>
    </comment>
    <comment ref="D143" authorId="0">
      <text>
        <r>
          <rPr>
            <sz val="10"/>
            <color rgb="FF000000"/>
            <rFont val="Arial"/>
            <scheme val="minor"/>
          </rPr>
          <t>======
ID#AAAA2ne6GmY
Clauber Bridi    (2022-03-22 18:28:24)
Informar o valor do seguro obrigatório e licenciamento anual de um caminhão</t>
        </r>
      </text>
    </comment>
    <comment ref="D144" authorId="0">
      <text>
        <r>
          <rPr>
            <sz val="10"/>
            <color rgb="FF000000"/>
            <rFont val="Arial"/>
            <scheme val="minor"/>
          </rPr>
          <t>======
ID#AAAA2nTsaNs
Clauber Bridi    (2022-03-22 18:28:24)
Informar o valor do seguro contra terceiros de um caminhão, se houver previsão no Projeto Básico</t>
        </r>
      </text>
    </comment>
    <comment ref="B150" authorId="0">
      <text>
        <r>
          <rPr>
            <sz val="10"/>
            <color rgb="FF000000"/>
            <rFont val="Arial"/>
            <scheme val="minor"/>
          </rPr>
          <t>======
ID#AAAA2ne6Gmk
Clauber Bridi    (2022-03-22 18:28:24)
Informar a quilometragem mensal percorrida, de acordo com o projeto básico</t>
        </r>
      </text>
    </comment>
    <comment ref="C153" authorId="0">
      <text>
        <r>
          <rPr>
            <sz val="10"/>
            <color rgb="FF000000"/>
            <rFont val="Arial"/>
            <scheme val="minor"/>
          </rPr>
          <t>======
ID#AAAA2nTs0x4
Clauber Bridi    (2022-03-22 18:28:24)
Informar o consumo estimado do veículo em km/l</t>
        </r>
      </text>
    </comment>
    <comment ref="D153" authorId="0">
      <text>
        <r>
          <rPr>
            <sz val="10"/>
            <color rgb="FF000000"/>
            <rFont val="Arial"/>
            <scheme val="minor"/>
          </rPr>
          <t>======
ID#AAAA2nTs0wU
Clauber Bridi    (2022-03-22 18:28:24)
Informar o preço unitário do combustivel</t>
        </r>
      </text>
    </comment>
    <comment ref="C155" authorId="0">
      <text>
        <r>
          <rPr>
            <sz val="10"/>
            <color rgb="FF000000"/>
            <rFont val="Arial"/>
            <scheme val="minor"/>
          </rPr>
          <t>======
ID#AAAA2nTs0xg
Clauber Bridi    (2022-03-22 18:28:24)
Informar o consumo estimado do veículo em km/l</t>
        </r>
      </text>
    </comment>
    <comment ref="D155" authorId="0">
      <text>
        <r>
          <rPr>
            <sz val="10"/>
            <color rgb="FF000000"/>
            <rFont val="Arial"/>
            <scheme val="minor"/>
          </rPr>
          <t>======
ID#AAAA2nTs0x8
Clauber Bridi    (2022-03-22 18:28:24)
Informar o preço unitário do combustivel</t>
        </r>
      </text>
    </comment>
    <comment ref="C157" authorId="0">
      <text>
        <r>
          <rPr>
            <sz val="10"/>
            <color rgb="FF000000"/>
            <rFont val="Arial"/>
            <scheme val="minor"/>
          </rPr>
          <t>======
ID#AAAA2nTsaOc
Clauber Bridi    (2022-03-22 18:28:24)
Informar o consumo de óleo do motor a cada 1000km</t>
        </r>
      </text>
    </comment>
    <comment ref="D157" authorId="0">
      <text>
        <r>
          <rPr>
            <sz val="10"/>
            <color rgb="FF000000"/>
            <rFont val="Arial"/>
            <scheme val="minor"/>
          </rPr>
          <t>======
ID#AAAA2nTsaOg
Clauber Bridi    (2022-03-22 18:28:24)
Informar o preço unitário do litro do óleo do motor</t>
        </r>
      </text>
    </comment>
    <comment ref="C159" authorId="0">
      <text>
        <r>
          <rPr>
            <sz val="10"/>
            <color rgb="FF000000"/>
            <rFont val="Arial"/>
            <scheme val="minor"/>
          </rPr>
          <t>======
ID#AAAA2nTsaNo
Clauber Bridi    (2022-03-22 18:28:24)
Informar o consumo de óleo da transmissão a cada 1000km</t>
        </r>
      </text>
    </comment>
    <comment ref="D159" authorId="0">
      <text>
        <r>
          <rPr>
            <sz val="10"/>
            <color rgb="FF000000"/>
            <rFont val="Arial"/>
            <scheme val="minor"/>
          </rPr>
          <t>======
ID#AAAA2nTs0w0
Clauber Bridi    (2022-03-22 18:28:24)
Informar o preço unitário do litro do óleo da transmissão</t>
        </r>
      </text>
    </comment>
    <comment ref="C161" authorId="0">
      <text>
        <r>
          <rPr>
            <sz val="10"/>
            <color rgb="FF000000"/>
            <rFont val="Arial"/>
            <scheme val="minor"/>
          </rPr>
          <t>======
ID#AAAA2nTky_k
Clauber Bridi    (2022-03-22 18:28:24)
Informar o consumo de óleo hidráulico a cada 1000km</t>
        </r>
      </text>
    </comment>
    <comment ref="D161" authorId="0">
      <text>
        <r>
          <rPr>
            <sz val="10"/>
            <color rgb="FF000000"/>
            <rFont val="Arial"/>
            <scheme val="minor"/>
          </rPr>
          <t>======
ID#AAAA2nTs0xM
Clauber Bridi    (2022-03-22 18:28:24)
Informar o preço unitário do litro do óleo hidráulico</t>
        </r>
      </text>
    </comment>
    <comment ref="C163" authorId="0">
      <text>
        <r>
          <rPr>
            <sz val="10"/>
            <color rgb="FF000000"/>
            <rFont val="Arial"/>
            <scheme val="minor"/>
          </rPr>
          <t>======
ID#AAAA2ne6Gmg
Clauber Bridi    (2022-03-22 18:28:24)
Informar o consumo de graxa a cada 1000km</t>
        </r>
      </text>
    </comment>
    <comment ref="D163" authorId="0">
      <text>
        <r>
          <rPr>
            <sz val="10"/>
            <color rgb="FF000000"/>
            <rFont val="Arial"/>
            <scheme val="minor"/>
          </rPr>
          <t>======
ID#AAAA2ne6Gmw
Clauber Bridi    (2022-03-22 18:28:24)
Informar o preço unitário do litro da graxa</t>
        </r>
      </text>
    </comment>
    <comment ref="D170" authorId="0">
      <text>
        <r>
          <rPr>
            <sz val="10"/>
            <color rgb="FF000000"/>
            <rFont val="Arial"/>
            <scheme val="minor"/>
          </rPr>
          <t>======
ID#AAAA2nTs0xo
Clauber Bridi    (2022-03-22 18:28:24)
Informar o custo de manutenção em R$/km rodado</t>
        </r>
      </text>
    </comment>
    <comment ref="C175" authorId="0">
      <text>
        <r>
          <rPr>
            <sz val="10"/>
            <color rgb="FF000000"/>
            <rFont val="Arial"/>
            <scheme val="minor"/>
          </rPr>
          <t>======
ID#AAAA2nTs0wc
Clauber Bridi    (2022-03-22 18:28:24)
Informar a quantidade de pneus novos de 1 caminhão</t>
        </r>
      </text>
    </comment>
    <comment ref="D175" authorId="0">
      <text>
        <r>
          <rPr>
            <sz val="10"/>
            <color rgb="FF000000"/>
            <rFont val="Arial"/>
            <scheme val="minor"/>
          </rPr>
          <t>======
ID#AAAA2nTs0xk
Clauber Bridi    (2022-03-22 18:28:24)
Informar o preço unitário de cada pneu</t>
        </r>
      </text>
    </comment>
    <comment ref="C176" authorId="0">
      <text>
        <r>
          <rPr>
            <sz val="10"/>
            <color rgb="FF000000"/>
            <rFont val="Arial"/>
            <scheme val="minor"/>
          </rPr>
          <t>======
ID#AAAA2nTsaOM
Clauber Bridi    (2022-03-22 18:28:24)
Informar o número de recapagens por pneu</t>
        </r>
      </text>
    </comment>
    <comment ref="D177" authorId="0">
      <text>
        <r>
          <rPr>
            <sz val="10"/>
            <color rgb="FF000000"/>
            <rFont val="Arial"/>
            <scheme val="minor"/>
          </rPr>
          <t>======
ID#AAAA2nTky_Q
Clauber Bridi    (2022-03-22 18:28:24)
Informar o preço unitário de cada recapagem</t>
        </r>
      </text>
    </comment>
    <comment ref="C178" authorId="0">
      <text>
        <r>
          <rPr>
            <sz val="10"/>
            <color rgb="FF000000"/>
            <rFont val="Arial"/>
            <scheme val="minor"/>
          </rPr>
          <t>======
ID#AAAA2nTs0yE
Clauber Bridi    (2022-03-22 18:28:24)
Informar a durabilidade média dos pneus considerando as recapagens, em km</t>
        </r>
      </text>
    </comment>
    <comment ref="A263" authorId="0">
      <text>
        <r>
          <rPr>
            <sz val="10"/>
            <color rgb="FF000000"/>
            <rFont val="Arial"/>
            <scheme val="minor"/>
          </rPr>
          <t>======
ID#AAAA2ne6Gmo
Clauber Bridi    (2022-03-22 18:28:24)
Especificar somente quando for exigido no Projeto Básico</t>
        </r>
      </text>
    </comment>
    <comment ref="D266" authorId="0">
      <text>
        <r>
          <rPr>
            <sz val="10"/>
            <color rgb="FF000000"/>
            <rFont val="Arial"/>
            <scheme val="minor"/>
          </rPr>
          <t>======
ID#AAAA2nTky_M
Clauber Bridi    (2022-03-22 18:28:24)
Informar o valor total para instalação do equipamento de monitoramento da frota.</t>
        </r>
      </text>
    </comment>
    <comment ref="D268" authorId="0">
      <text>
        <r>
          <rPr>
            <sz val="10"/>
            <color rgb="FF000000"/>
            <rFont val="Arial"/>
            <scheme val="minor"/>
          </rPr>
          <t>======
ID#AAAA2nTs0xE
Clauber Bridi    (2022-03-22 18:28:24)
Informar o valor unitário mensal para manutenção dos equipamentos de monitoramento</t>
        </r>
      </text>
    </comment>
    <comment ref="C287" authorId="0">
      <text>
        <r>
          <rPr>
            <sz val="10"/>
            <color rgb="FF000000"/>
            <rFont val="Arial"/>
            <scheme val="minor"/>
          </rPr>
          <t>======
ID#AAAA2nTky_Y
Clauber Bridi    (2022-03-22 18:28:24)
Preencher a aba 4.BDI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z0jWgrfiYVFPXFGExcCNo8m1jRQ=="/>
    </ext>
  </extLst>
</comments>
</file>

<file path=xl/comments2.xml><?xml version="1.0" encoding="utf-8"?>
<comments xmlns="http://schemas.openxmlformats.org/spreadsheetml/2006/main">
  <authors>
    <author/>
  </authors>
  <commentList>
    <comment ref="C12" authorId="0">
      <text>
        <r>
          <rPr>
            <sz val="10"/>
            <color rgb="FF000000"/>
            <rFont val="Arial"/>
            <scheme val="minor"/>
          </rPr>
          <t>======
ID#AAAA2nTsaOY
Clauber Bridi    (2022-03-22 18:28:24)
Informar o % de Administração Central estimado</t>
        </r>
      </text>
    </comment>
    <comment ref="C13" authorId="0">
      <text>
        <r>
          <rPr>
            <sz val="10"/>
            <color rgb="FF000000"/>
            <rFont val="Arial"/>
            <scheme val="minor"/>
          </rPr>
          <t>======
ID#AAAA2nTs0xU
Clauber Bridi    (2022-03-22 18:28:24)
Informar o % de Seguros, Riscos e Garantia estimado</t>
        </r>
      </text>
    </comment>
    <comment ref="C14" authorId="0">
      <text>
        <r>
          <rPr>
            <sz val="10"/>
            <color rgb="FF000000"/>
            <rFont val="Arial"/>
            <scheme val="minor"/>
          </rPr>
          <t>======
ID#AAAA2ne6Gm8
Clauber Bridi    (2022-03-22 18:28:24)
Informar o % de Lucro estimado</t>
        </r>
      </text>
    </comment>
    <comment ref="E15" authorId="0">
      <text>
        <r>
          <rPr>
            <sz val="10"/>
            <color rgb="FF000000"/>
            <rFont val="Arial"/>
            <scheme val="minor"/>
          </rPr>
          <t>======
ID#AAAA2nTsaOE
Clauber Bridi    (2022-03-22 18:28:24)
Informar o valor anual da taxa financeira, em percentual. Admite-se utilizar a SELIC</t>
        </r>
      </text>
    </comment>
    <comment ref="C16" authorId="0">
      <text>
        <r>
          <rPr>
            <sz val="10"/>
            <color rgb="FF000000"/>
            <rFont val="Arial"/>
            <scheme val="minor"/>
          </rPr>
          <t>======
ID#AAAA2nTky_E
Clauber Bridi    (2022-03-22 18:28:24)
Informar o percentual de ISS, de acordo com a legislação tributária do município onde serão prestados os serviços. De 2% até o limite de 5%.</t>
        </r>
      </text>
    </comment>
    <comment ref="E16" authorId="0">
      <text>
        <r>
          <rPr>
            <sz val="10"/>
            <color rgb="FF000000"/>
            <rFont val="Arial"/>
            <scheme val="minor"/>
          </rPr>
          <t>======
ID#AAAA2ne6Gm4
Clauber Bridi    (2022-03-22 18:28:24)
Informar a média de dias úteis entre data de pagamento prevista no contrato e a data final do período de adimplemento da parcela</t>
        </r>
      </text>
    </comment>
    <comment ref="C17" authorId="0">
      <text>
        <r>
          <rPr>
            <sz val="10"/>
            <color rgb="FF000000"/>
            <rFont val="Arial"/>
            <scheme val="minor"/>
          </rPr>
          <t>======
ID#AAAA2nTky_0
Clauber Bridi    (2022-03-22 18:28:24)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i7w5VS5KhCK/LWRT4ZRBdmAB5sA=="/>
    </ext>
  </extLst>
</comments>
</file>

<file path=xl/sharedStrings.xml><?xml version="1.0" encoding="utf-8"?>
<sst xmlns="http://schemas.openxmlformats.org/spreadsheetml/2006/main" count="567" uniqueCount="300">
  <si>
    <t>1. Preencher somente células em amarelo</t>
  </si>
  <si>
    <t xml:space="preserve">1. Transporte de Resíduos Sólidos </t>
  </si>
  <si>
    <t>Planilha de Composição de Custos</t>
  </si>
  <si>
    <t>Orçamento Sintético</t>
  </si>
  <si>
    <t>Descrição do Item</t>
  </si>
  <si>
    <t>Custo (R$/mês)</t>
  </si>
  <si>
    <t>%</t>
  </si>
  <si>
    <t xml:space="preserve">    3.1.1. Depreciação    </t>
  </si>
  <si>
    <t xml:space="preserve">    3.1.2. Remuneração do Capital    </t>
  </si>
  <si>
    <t>3.2.1. Depreciação</t>
  </si>
  <si>
    <t>PREÇO TOTAL MENSAL COM A COLETA</t>
  </si>
  <si>
    <t>Quantitativos</t>
  </si>
  <si>
    <t>Mão-de-obra</t>
  </si>
  <si>
    <t>Quantidade</t>
  </si>
  <si>
    <t>1.2. Operador</t>
  </si>
  <si>
    <t xml:space="preserve">Total de mão-de-obra </t>
  </si>
  <si>
    <t>Veículos e Equipamentos</t>
  </si>
  <si>
    <t>Fator de utilização (FU)</t>
  </si>
  <si>
    <t>1. Mão-de-obra</t>
  </si>
  <si>
    <t xml:space="preserve">1.1. Motorista </t>
  </si>
  <si>
    <t>Discriminação</t>
  </si>
  <si>
    <t>Unidade</t>
  </si>
  <si>
    <t>Custo unitário</t>
  </si>
  <si>
    <t>Subtotal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</si>
  <si>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</si>
  <si>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Piso da categoria (2)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</si>
  <si>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</si>
  <si>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</si>
  <si>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</si>
  <si>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</si>
  <si>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</si>
  <si>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</si>
  <si>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</si>
  <si>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</si>
  <si>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</si>
  <si>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</si>
  <si>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</si>
  <si>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</si>
  <si>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</si>
  <si>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</si>
  <si>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Fator de utilização</t>
  </si>
  <si>
    <t>1.1. Operador</t>
  </si>
  <si>
    <r>
      <rPr>
        <b/>
        <sz val="9"/>
        <color theme="1"/>
        <rFont val="Arial"/>
      </rPr>
      <t>Total</t>
    </r>
    <r>
      <rPr>
        <b/>
        <u/>
        <sz val="9"/>
        <color theme="1"/>
        <rFont val="Arial"/>
      </rPr>
      <t xml:space="preserve"> (R$)</t>
    </r>
  </si>
  <si>
    <t>1.4. Auxílio Alimentação (mensal)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</si>
  <si>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</si>
  <si>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unidade</t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</si>
  <si>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</si>
  <si>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</si>
  <si>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</si>
  <si>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</si>
  <si>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</si>
  <si>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Jaqueta com reflexivo (NBR 15.292)</t>
  </si>
  <si>
    <t>Calça</t>
  </si>
  <si>
    <t>Camiseta</t>
  </si>
  <si>
    <t>Capacete de segurança</t>
  </si>
  <si>
    <t>Botina de segurança c/ palmilha aço</t>
  </si>
  <si>
    <t>par</t>
  </si>
  <si>
    <t>Meia de algodão com cano alto</t>
  </si>
  <si>
    <t>Capa de chuva com reflexivo</t>
  </si>
  <si>
    <t>Respirador</t>
  </si>
  <si>
    <t>Protetor auricular</t>
  </si>
  <si>
    <t>Protetor solar FPS 30</t>
  </si>
  <si>
    <t>frasco 120g</t>
  </si>
  <si>
    <t>Higienização de uniformes e EPIs</t>
  </si>
  <si>
    <t>R$ mensal</t>
  </si>
  <si>
    <t>Custo Mensal com Uniformes e EPIs (R$/mês)</t>
  </si>
  <si>
    <t>3. Veículos e Equipamentos</t>
  </si>
  <si>
    <t>3.1. Veículo - Caminhão Tipo Caçamba</t>
  </si>
  <si>
    <t>3.1.1. Depreciação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</si>
  <si>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</si>
  <si>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</si>
  <si>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</si>
  <si>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</si>
  <si>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</si>
  <si>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</si>
  <si>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</t>
  </si>
  <si>
    <t>Implemento</t>
  </si>
  <si>
    <t xml:space="preserve">Vida útil </t>
  </si>
  <si>
    <t xml:space="preserve">Idade </t>
  </si>
  <si>
    <t xml:space="preserve">Depreciação </t>
  </si>
  <si>
    <t>Depreciação mensal</t>
  </si>
  <si>
    <t>Total por veículo</t>
  </si>
  <si>
    <t>Total da frota</t>
  </si>
  <si>
    <t>3.1.2. Remuneração do Capital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</si>
  <si>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</si>
  <si>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</si>
  <si>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</si>
  <si>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</si>
  <si>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</si>
  <si>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</si>
  <si>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da Retroescavadeira</t>
  </si>
  <si>
    <t>Valor do compactador proposto (V0)</t>
  </si>
  <si>
    <t xml:space="preserve">Investimento médio total da caixa com garra sucateira </t>
  </si>
  <si>
    <t>Remuneração mensal de capital da da caixa com garra sucateira</t>
  </si>
  <si>
    <t>Total</t>
  </si>
  <si>
    <t>3.1.3. Impostos e Seguros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</si>
  <si>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</si>
  <si>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</si>
  <si>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</si>
  <si>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</si>
  <si>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</si>
  <si>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</si>
  <si>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</si>
  <si>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</si>
  <si>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</si>
  <si>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óleo diesel / km rodado</t>
  </si>
  <si>
    <t>km/l</t>
  </si>
  <si>
    <t>Custo mensal com óleo diesel</t>
  </si>
  <si>
    <t>km</t>
  </si>
  <si>
    <t>Custo de Arla diesel / km rodado</t>
  </si>
  <si>
    <t>Custo mensal com Arla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</si>
  <si>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</si>
  <si>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</si>
  <si>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</si>
  <si>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</si>
  <si>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</si>
  <si>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</si>
  <si>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</si>
  <si>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</si>
  <si>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</si>
  <si>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</si>
  <si>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</si>
  <si>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</si>
  <si>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</si>
  <si>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</si>
  <si>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manutenção do caminhão</t>
  </si>
  <si>
    <t>3.1.6. Pneus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</si>
  <si>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</si>
  <si>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jogo de pneus 275/80 R22,5</t>
  </si>
  <si>
    <t>Número de recapagens por pneu</t>
  </si>
  <si>
    <t>Custo de recapagem</t>
  </si>
  <si>
    <t>Custo jg. compl. + 1 recap./ km rodado</t>
  </si>
  <si>
    <t>km/jogo</t>
  </si>
  <si>
    <t>Custo mensal com pneus</t>
  </si>
  <si>
    <t>3.1.7. Pedágio</t>
  </si>
  <si>
    <r>
      <rPr>
        <b/>
        <sz val="10"/>
        <color theme="1"/>
        <rFont val="Arial"/>
      </rPr>
      <t xml:space="preserve">Total </t>
    </r>
    <r>
      <rPr>
        <b/>
        <u/>
        <sz val="10"/>
        <color theme="1"/>
        <rFont val="Arial"/>
      </rPr>
      <t>(R$)</t>
    </r>
  </si>
  <si>
    <t>Pedágio BR 290 Gravataí (R$ 4,60 por eixo * 7 eixos)</t>
  </si>
  <si>
    <t>3.2. Veículo - Retroescavadeira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</si>
  <si>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</si>
  <si>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Retro escavadeira</t>
  </si>
  <si>
    <t>Vida útil da caixa com garra sucateira</t>
  </si>
  <si>
    <t>Idade da caixa com garra sucateira</t>
  </si>
  <si>
    <t>Depreciação da caixa com garra sucateira</t>
  </si>
  <si>
    <t>3.2.2. Remuneração do Capital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</si>
  <si>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</si>
  <si>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3.2.3. Impostos e Seguros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</si>
  <si>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</si>
  <si>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3.2.4. Consumos</t>
  </si>
  <si>
    <t>Horas trabalhadas mensal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</si>
  <si>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</si>
  <si>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h/l</t>
  </si>
  <si>
    <t>h</t>
  </si>
  <si>
    <t>l/1.000 h</t>
  </si>
  <si>
    <t>kg/1.000 h</t>
  </si>
  <si>
    <t>R$/h rodado</t>
  </si>
  <si>
    <t>3.2.5. Manutenção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</si>
  <si>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</si>
  <si>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manutenção da Retroescavadeira</t>
  </si>
  <si>
    <t>R$/h trabalhada</t>
  </si>
  <si>
    <t>3.2.6. Pneus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</si>
  <si>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</si>
  <si>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h/jogo</t>
  </si>
  <si>
    <t>Custo Mensal com Veículos e Equipamentos (R$/mês)</t>
  </si>
  <si>
    <t>4. Monitoramento da Frota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</si>
  <si>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</si>
  <si>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</si>
  <si>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</si>
  <si>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</si>
  <si>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</si>
  <si>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</si>
  <si>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</si>
  <si>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CUSTO TOTAL MENSAL COM TRANSPORTE (R$/mês)</t>
  </si>
  <si>
    <t>5. Custo de destinação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</si>
  <si>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</si>
  <si>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Destinação final</t>
  </si>
  <si>
    <t>m³</t>
  </si>
  <si>
    <t>CUSTO TOTAL MENSAL COM DESPESAS OPERACIONAIS (R$/mês)</t>
  </si>
  <si>
    <t>6. Benefícios e Despesas Indiretas - BDI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</si>
  <si>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</si>
  <si>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Benefícios e despesas indiretas</t>
  </si>
  <si>
    <t>PREÇO  TRANSPORTE (R$)</t>
  </si>
  <si>
    <t>Custo unitário (R$)</t>
  </si>
  <si>
    <t>PREÇO  TRANSPORTE P/M³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</si>
  <si>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</si>
  <si>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</si>
  <si>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</si>
  <si>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</si>
  <si>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</si>
  <si>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</si>
  <si>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</si>
  <si>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</si>
  <si>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</si>
  <si>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</si>
  <si>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</si>
  <si>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</si>
  <si>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</si>
  <si>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</si>
  <si>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</si>
  <si>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</si>
  <si>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</si>
  <si>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</si>
  <si>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</si>
  <si>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</si>
  <si>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</si>
  <si>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</si>
  <si>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</si>
  <si>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</si>
  <si>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</si>
  <si>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</si>
  <si>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</si>
  <si>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</si>
  <si>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</si>
  <si>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</si>
  <si>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</si>
  <si>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</si>
  <si>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</si>
  <si>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</si>
  <si>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</si>
  <si>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</si>
  <si>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</si>
  <si>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</si>
  <si>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</si>
  <si>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</si>
  <si>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</si>
  <si>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</si>
  <si>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</si>
  <si>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</si>
  <si>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</si>
  <si>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</si>
  <si>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</si>
  <si>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</si>
  <si>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</si>
  <si>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</si>
  <si>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</si>
  <si>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</si>
  <si>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</si>
  <si>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</si>
  <si>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</si>
  <si>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</si>
  <si>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</si>
  <si>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</si>
  <si>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</si>
  <si>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</si>
  <si>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</si>
  <si>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</si>
  <si>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</si>
  <si>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</si>
  <si>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</si>
  <si>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</si>
  <si>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</si>
  <si>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</si>
  <si>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</si>
  <si>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</si>
  <si>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</si>
  <si>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</si>
  <si>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</si>
  <si>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</si>
  <si>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</si>
  <si>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</si>
  <si>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</si>
  <si>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</si>
  <si>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</si>
  <si>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</si>
  <si>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</si>
  <si>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</si>
  <si>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</si>
  <si>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Orientações para preenchimento: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</si>
  <si>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</si>
  <si>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</si>
  <si>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</si>
  <si>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</si>
  <si>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</si>
  <si>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</si>
  <si>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</si>
  <si>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</si>
  <si>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</si>
  <si>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</si>
  <si>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</si>
  <si>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</si>
  <si>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</si>
  <si>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</si>
  <si>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</si>
  <si>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</si>
  <si>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</si>
  <si>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</si>
  <si>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</si>
  <si>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</si>
  <si>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</si>
  <si>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</si>
  <si>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</si>
  <si>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</si>
  <si>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</si>
  <si>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</si>
  <si>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</rPr>
      <t>J</t>
    </r>
    <r>
      <rPr>
        <vertAlign val="subscript"/>
        <sz val="12"/>
        <color rgb="FF000000"/>
        <rFont val="Arial"/>
      </rPr>
      <t>m</t>
    </r>
    <r>
      <rPr>
        <sz val="12"/>
        <color rgb="FF000000"/>
        <rFont val="Arial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</si>
  <si>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</si>
  <si>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</si>
  <si>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0</t>
    </r>
    <r>
      <rPr>
        <sz val="12"/>
        <color rgb="FF000000"/>
        <rFont val="Arial"/>
      </rPr>
      <t xml:space="preserve"> = valor inicial do bem</t>
    </r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</si>
  <si>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r</t>
    </r>
    <r>
      <rPr>
        <sz val="12"/>
        <color rgb="FF000000"/>
        <rFont val="Arial"/>
      </rPr>
      <t xml:space="preserve"> = valor residual do bem</t>
    </r>
  </si>
  <si>
    <t>n = vida útil do bem em anos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</si>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</sst>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&quot;R$&quot;\ * #,##0.00_-;\-&quot;R$&quot;\ * #,##0.00_-;_-&quot;R$&quot;\ * &quot;-&quot;??_-;_-@"/>
    <numFmt numFmtId="169" formatCode="_-* #,##0.00_-;\-* #,##0.00_-;_-* &quot;-&quot;??_-;_-@"/>
    <numFmt numFmtId="170" formatCode="_(* #,##0.000_);_(* \(#,##0.000\);_(* &quot;-&quot;??_);_(@_)"/>
    <numFmt numFmtId="171" formatCode="0.0000"/>
  </numFmts>
  <fonts count="32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u/>
      <sz val="10"/>
      <color rgb="FF0000FF"/>
      <name val="Arial"/>
    </font>
    <font>
      <b/>
      <u/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sz val="10"/>
      <color theme="1"/>
      <name val="Arial"/>
    </font>
    <font>
      <b/>
      <sz val="9"/>
      <color rgb="FF000000"/>
      <name val="Arial"/>
    </font>
    <font>
      <b/>
      <sz val="10"/>
      <color theme="1"/>
      <name val="Arial"/>
    </font>
    <font>
      <sz val="10"/>
      <color rgb="FF434343"/>
      <name val="Arial"/>
    </font>
    <font>
      <u/>
      <sz val="10"/>
      <color rgb="FF0000FF"/>
      <name val="Arial"/>
    </font>
    <font>
      <sz val="9"/>
      <color theme="1"/>
      <name val="Arial"/>
    </font>
    <font>
      <sz val="10"/>
      <color rgb="FF000000"/>
      <name val="Arial"/>
    </font>
    <font>
      <i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2"/>
      <color theme="1"/>
      <name val="Arial"/>
    </font>
    <font>
      <b/>
      <sz val="12"/>
      <color rgb="FFFF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3"/>
      <color theme="1"/>
      <name val="Arial"/>
    </font>
    <font>
      <u/>
      <sz val="10"/>
      <color rgb="FF0000FF"/>
      <name val="Arial"/>
    </font>
    <font>
      <b/>
      <sz val="10"/>
      <color rgb="FFFF0000"/>
      <name val="Arial"/>
    </font>
    <font>
      <b/>
      <u/>
      <sz val="9"/>
      <color theme="1"/>
      <name val="Arial"/>
    </font>
    <font>
      <vertAlign val="subscript"/>
      <sz val="12"/>
      <color rgb="FF000000"/>
      <name val="Arial"/>
    </font>
    <font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0" fontId="1" fillId="0" borderId="1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0" fontId="2" fillId="0" borderId="19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horizontal="left" vertical="center"/>
    </xf>
    <xf numFmtId="4" fontId="1" fillId="0" borderId="17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left" vertical="center"/>
    </xf>
    <xf numFmtId="4" fontId="2" fillId="0" borderId="17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left" vertical="center"/>
    </xf>
    <xf numFmtId="164" fontId="9" fillId="0" borderId="16" xfId="0" applyNumberFormat="1" applyFont="1" applyBorder="1" applyAlignment="1">
      <alignment horizontal="left" vertical="center"/>
    </xf>
    <xf numFmtId="165" fontId="1" fillId="0" borderId="20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horizontal="left" vertical="center"/>
    </xf>
    <xf numFmtId="4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10" fontId="1" fillId="0" borderId="21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0" borderId="26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0" fontId="1" fillId="3" borderId="31" xfId="0" applyNumberFormat="1" applyFont="1" applyFill="1" applyBorder="1" applyAlignment="1">
      <alignment vertical="center"/>
    </xf>
    <xf numFmtId="164" fontId="1" fillId="4" borderId="32" xfId="0" applyNumberFormat="1" applyFont="1" applyFill="1" applyBorder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164" fontId="10" fillId="5" borderId="34" xfId="0" applyNumberFormat="1" applyFont="1" applyFill="1" applyBorder="1" applyAlignment="1">
      <alignment horizontal="center" vertical="center"/>
    </xf>
    <xf numFmtId="164" fontId="10" fillId="5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4" borderId="32" xfId="0" applyNumberFormat="1" applyFont="1" applyFill="1" applyBorder="1" applyAlignment="1">
      <alignment vertical="center"/>
    </xf>
    <xf numFmtId="1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2" fillId="6" borderId="18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1" fillId="5" borderId="38" xfId="0" applyNumberFormat="1" applyFont="1" applyFill="1" applyBorder="1" applyAlignment="1">
      <alignment horizontal="center" vertical="center"/>
    </xf>
    <xf numFmtId="0" fontId="12" fillId="0" borderId="39" xfId="0" applyFont="1" applyBorder="1"/>
    <xf numFmtId="164" fontId="12" fillId="0" borderId="39" xfId="0" applyNumberFormat="1" applyFont="1" applyBorder="1"/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164" fontId="10" fillId="5" borderId="41" xfId="0" applyNumberFormat="1" applyFont="1" applyFill="1" applyBorder="1" applyAlignment="1">
      <alignment horizontal="center"/>
    </xf>
    <xf numFmtId="164" fontId="13" fillId="5" borderId="42" xfId="0" applyNumberFormat="1" applyFont="1" applyFill="1" applyBorder="1" applyAlignment="1">
      <alignment horizontal="center"/>
    </xf>
    <xf numFmtId="0" fontId="12" fillId="0" borderId="36" xfId="0" applyFont="1" applyBorder="1"/>
    <xf numFmtId="0" fontId="12" fillId="0" borderId="43" xfId="0" applyFont="1" applyBorder="1" applyAlignment="1">
      <alignment horizontal="center"/>
    </xf>
    <xf numFmtId="164" fontId="12" fillId="3" borderId="43" xfId="0" applyNumberFormat="1" applyFont="1" applyFill="1" applyBorder="1" applyAlignment="1">
      <alignment horizontal="center"/>
    </xf>
    <xf numFmtId="164" fontId="12" fillId="0" borderId="43" xfId="0" applyNumberFormat="1" applyFont="1" applyBorder="1" applyAlignment="1">
      <alignment horizontal="center"/>
    </xf>
    <xf numFmtId="164" fontId="12" fillId="0" borderId="0" xfId="0" applyNumberFormat="1" applyFont="1"/>
    <xf numFmtId="164" fontId="12" fillId="3" borderId="43" xfId="0" applyNumberFormat="1" applyFont="1" applyFill="1" applyBorder="1" applyAlignment="1">
      <alignment horizontal="center"/>
    </xf>
    <xf numFmtId="2" fontId="12" fillId="3" borderId="43" xfId="0" applyNumberFormat="1" applyFont="1" applyFill="1" applyBorder="1" applyAlignment="1">
      <alignment horizontal="center"/>
    </xf>
    <xf numFmtId="2" fontId="12" fillId="3" borderId="43" xfId="0" applyNumberFormat="1" applyFont="1" applyFill="1" applyBorder="1" applyAlignment="1">
      <alignment horizontal="center"/>
    </xf>
    <xf numFmtId="167" fontId="12" fillId="0" borderId="43" xfId="0" applyNumberFormat="1" applyFont="1" applyBorder="1"/>
    <xf numFmtId="1" fontId="12" fillId="3" borderId="43" xfId="0" applyNumberFormat="1" applyFont="1" applyFill="1" applyBorder="1" applyAlignment="1">
      <alignment horizontal="center"/>
    </xf>
    <xf numFmtId="0" fontId="12" fillId="3" borderId="43" xfId="0" applyFont="1" applyFill="1" applyBorder="1" applyAlignment="1"/>
    <xf numFmtId="0" fontId="14" fillId="0" borderId="36" xfId="0" applyFont="1" applyBorder="1"/>
    <xf numFmtId="0" fontId="12" fillId="0" borderId="44" xfId="0" applyFont="1" applyBorder="1"/>
    <xf numFmtId="164" fontId="12" fillId="0" borderId="43" xfId="0" applyNumberFormat="1" applyFont="1" applyBorder="1"/>
    <xf numFmtId="164" fontId="14" fillId="0" borderId="43" xfId="0" applyNumberFormat="1" applyFont="1" applyBorder="1" applyAlignment="1">
      <alignment horizontal="center"/>
    </xf>
    <xf numFmtId="164" fontId="12" fillId="6" borderId="43" xfId="0" applyNumberFormat="1" applyFont="1" applyFill="1" applyBorder="1" applyAlignment="1">
      <alignment horizontal="center"/>
    </xf>
    <xf numFmtId="167" fontId="12" fillId="0" borderId="44" xfId="0" applyNumberFormat="1" applyFont="1" applyBorder="1"/>
    <xf numFmtId="0" fontId="12" fillId="3" borderId="43" xfId="0" applyFont="1" applyFill="1" applyBorder="1"/>
    <xf numFmtId="0" fontId="12" fillId="0" borderId="0" xfId="0" applyFont="1"/>
    <xf numFmtId="164" fontId="12" fillId="0" borderId="45" xfId="0" applyNumberFormat="1" applyFont="1" applyBorder="1" applyAlignment="1"/>
    <xf numFmtId="164" fontId="12" fillId="0" borderId="43" xfId="0" applyNumberFormat="1" applyFont="1" applyBorder="1" applyAlignment="1">
      <alignment horizontal="right"/>
    </xf>
    <xf numFmtId="164" fontId="14" fillId="5" borderId="42" xfId="0" applyNumberFormat="1" applyFont="1" applyFill="1" applyBorder="1" applyAlignment="1">
      <alignment horizontal="center"/>
    </xf>
    <xf numFmtId="167" fontId="2" fillId="0" borderId="18" xfId="0" applyNumberFormat="1" applyFont="1" applyBorder="1" applyAlignment="1">
      <alignment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1" fillId="5" borderId="46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5" borderId="47" xfId="0" applyNumberFormat="1" applyFont="1" applyFill="1" applyBorder="1" applyAlignment="1">
      <alignment vertical="center"/>
    </xf>
    <xf numFmtId="0" fontId="10" fillId="5" borderId="34" xfId="0" applyFont="1" applyFill="1" applyBorder="1" applyAlignment="1">
      <alignment horizontal="center" vertical="center" wrapText="1"/>
    </xf>
    <xf numFmtId="13" fontId="2" fillId="3" borderId="18" xfId="0" applyNumberFormat="1" applyFont="1" applyFill="1" applyBorder="1"/>
    <xf numFmtId="2" fontId="2" fillId="3" borderId="18" xfId="0" applyNumberFormat="1" applyFont="1" applyFill="1" applyBorder="1" applyAlignment="1">
      <alignment vertical="center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2" fontId="2" fillId="3" borderId="18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2" fontId="15" fillId="0" borderId="0" xfId="0" applyNumberFormat="1" applyFont="1" applyAlignment="1">
      <alignment vertical="center"/>
    </xf>
    <xf numFmtId="164" fontId="2" fillId="7" borderId="32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1" fillId="5" borderId="4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168" fontId="2" fillId="3" borderId="37" xfId="0" applyNumberFormat="1" applyFont="1" applyFill="1" applyBorder="1" applyAlignment="1">
      <alignment horizontal="center" vertical="center"/>
    </xf>
    <xf numFmtId="169" fontId="2" fillId="0" borderId="36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6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164" fontId="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center" vertical="center"/>
    </xf>
    <xf numFmtId="164" fontId="10" fillId="5" borderId="5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4" fontId="2" fillId="3" borderId="37" xfId="0" applyNumberFormat="1" applyFont="1" applyFill="1" applyBorder="1" applyAlignment="1">
      <alignment horizontal="center" vertical="center"/>
    </xf>
    <xf numFmtId="170" fontId="2" fillId="3" borderId="3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67" fontId="2" fillId="0" borderId="18" xfId="0" applyNumberFormat="1" applyFont="1" applyBorder="1" applyAlignment="1">
      <alignment horizontal="center" vertical="center"/>
    </xf>
    <xf numFmtId="170" fontId="2" fillId="0" borderId="36" xfId="0" applyNumberFormat="1" applyFont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170" fontId="2" fillId="0" borderId="18" xfId="0" applyNumberFormat="1" applyFont="1" applyBorder="1" applyAlignment="1">
      <alignment horizontal="center" vertical="center"/>
    </xf>
    <xf numFmtId="167" fontId="1" fillId="0" borderId="18" xfId="0" applyNumberFormat="1" applyFont="1" applyBorder="1" applyAlignment="1">
      <alignment horizontal="center" vertical="center"/>
    </xf>
    <xf numFmtId="170" fontId="1" fillId="0" borderId="18" xfId="0" applyNumberFormat="1" applyFont="1" applyBorder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164" fontId="1" fillId="4" borderId="32" xfId="0" applyNumberFormat="1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164" fontId="1" fillId="5" borderId="51" xfId="0" applyNumberFormat="1" applyFont="1" applyFill="1" applyBorder="1" applyAlignment="1">
      <alignment horizontal="center" vertical="center"/>
    </xf>
    <xf numFmtId="164" fontId="1" fillId="5" borderId="35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>
      <alignment horizontal="center" vertical="center"/>
    </xf>
    <xf numFmtId="164" fontId="1" fillId="7" borderId="32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center" vertical="center"/>
    </xf>
    <xf numFmtId="164" fontId="1" fillId="2" borderId="46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4" fontId="2" fillId="3" borderId="37" xfId="0" applyNumberFormat="1" applyFont="1" applyFill="1" applyBorder="1" applyAlignment="1">
      <alignment horizontal="center" vertical="center"/>
    </xf>
    <xf numFmtId="170" fontId="2" fillId="3" borderId="37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164" fontId="19" fillId="0" borderId="18" xfId="0" applyNumberFormat="1" applyFont="1" applyBorder="1" applyAlignment="1">
      <alignment horizontal="center" vertical="center"/>
    </xf>
    <xf numFmtId="164" fontId="1" fillId="5" borderId="4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1" fillId="5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0" fillId="0" borderId="0" xfId="0" applyFont="1" applyAlignment="1"/>
    <xf numFmtId="164" fontId="10" fillId="5" borderId="34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8" fontId="1" fillId="4" borderId="32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54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0" fontId="24" fillId="0" borderId="55" xfId="0" applyNumberFormat="1" applyFont="1" applyBorder="1" applyAlignment="1">
      <alignment horizontal="right" vertical="center"/>
    </xf>
    <xf numFmtId="0" fontId="25" fillId="0" borderId="18" xfId="0" applyFont="1" applyBorder="1" applyAlignment="1">
      <alignment horizontal="left" vertical="center"/>
    </xf>
    <xf numFmtId="10" fontId="25" fillId="0" borderId="55" xfId="0" applyNumberFormat="1" applyFont="1" applyBorder="1" applyAlignment="1">
      <alignment horizontal="right" vertical="center"/>
    </xf>
    <xf numFmtId="0" fontId="24" fillId="8" borderId="54" xfId="0" applyFont="1" applyFill="1" applyBorder="1" applyAlignment="1">
      <alignment horizontal="left" vertical="center"/>
    </xf>
    <xf numFmtId="0" fontId="25" fillId="8" borderId="18" xfId="0" applyFont="1" applyFill="1" applyBorder="1" applyAlignment="1">
      <alignment horizontal="left" vertical="center"/>
    </xf>
    <xf numFmtId="10" fontId="25" fillId="8" borderId="55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2" fillId="0" borderId="0" xfId="0" applyNumberFormat="1" applyFont="1"/>
    <xf numFmtId="9" fontId="24" fillId="0" borderId="0" xfId="0" applyNumberFormat="1" applyFont="1" applyAlignment="1">
      <alignment horizontal="right" vertical="center"/>
    </xf>
    <xf numFmtId="0" fontId="24" fillId="0" borderId="18" xfId="0" applyFont="1" applyBorder="1" applyAlignment="1">
      <alignment horizontal="left" vertical="center" wrapText="1"/>
    </xf>
    <xf numFmtId="0" fontId="24" fillId="9" borderId="56" xfId="0" applyFont="1" applyFill="1" applyBorder="1" applyAlignment="1">
      <alignment horizontal="left" vertical="center"/>
    </xf>
    <xf numFmtId="0" fontId="25" fillId="9" borderId="20" xfId="0" applyFont="1" applyFill="1" applyBorder="1" applyAlignment="1">
      <alignment horizontal="left" vertical="center"/>
    </xf>
    <xf numFmtId="10" fontId="25" fillId="9" borderId="57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10" fontId="25" fillId="0" borderId="0" xfId="0" applyNumberFormat="1" applyFont="1" applyAlignment="1">
      <alignment horizontal="right" vertical="center"/>
    </xf>
    <xf numFmtId="0" fontId="18" fillId="4" borderId="32" xfId="0" applyFont="1" applyFill="1" applyBorder="1" applyAlignment="1">
      <alignment horizontal="left" vertical="center"/>
    </xf>
    <xf numFmtId="10" fontId="24" fillId="0" borderId="0" xfId="0" applyNumberFormat="1" applyFont="1" applyAlignment="1">
      <alignment horizontal="right" vertical="center"/>
    </xf>
    <xf numFmtId="0" fontId="24" fillId="4" borderId="32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8" fillId="0" borderId="0" xfId="0" applyFont="1"/>
    <xf numFmtId="0" fontId="6" fillId="0" borderId="16" xfId="0" applyFont="1" applyBorder="1"/>
    <xf numFmtId="0" fontId="5" fillId="0" borderId="19" xfId="0" applyFont="1" applyBorder="1"/>
    <xf numFmtId="0" fontId="6" fillId="0" borderId="58" xfId="0" applyFont="1" applyBorder="1"/>
    <xf numFmtId="0" fontId="6" fillId="3" borderId="55" xfId="0" applyFont="1" applyFill="1" applyBorder="1"/>
    <xf numFmtId="0" fontId="6" fillId="0" borderId="54" xfId="0" applyFont="1" applyBorder="1"/>
    <xf numFmtId="0" fontId="5" fillId="0" borderId="54" xfId="0" applyFont="1" applyBorder="1"/>
    <xf numFmtId="0" fontId="5" fillId="3" borderId="55" xfId="0" applyFont="1" applyFill="1" applyBorder="1"/>
    <xf numFmtId="0" fontId="5" fillId="0" borderId="58" xfId="0" applyFont="1" applyBorder="1"/>
    <xf numFmtId="0" fontId="5" fillId="3" borderId="59" xfId="0" applyFont="1" applyFill="1" applyBorder="1"/>
    <xf numFmtId="0" fontId="5" fillId="0" borderId="26" xfId="0" applyFont="1" applyBorder="1"/>
    <xf numFmtId="0" fontId="5" fillId="0" borderId="60" xfId="0" applyFont="1" applyBorder="1"/>
    <xf numFmtId="0" fontId="5" fillId="3" borderId="61" xfId="0" applyFont="1" applyFill="1" applyBorder="1"/>
    <xf numFmtId="0" fontId="5" fillId="0" borderId="55" xfId="0" applyFont="1" applyBorder="1"/>
    <xf numFmtId="0" fontId="5" fillId="0" borderId="7" xfId="0" applyFont="1" applyBorder="1"/>
    <xf numFmtId="0" fontId="5" fillId="0" borderId="8" xfId="0" applyFont="1" applyBorder="1"/>
    <xf numFmtId="0" fontId="1" fillId="0" borderId="0" xfId="0" applyFont="1"/>
    <xf numFmtId="0" fontId="6" fillId="0" borderId="28" xfId="0" applyFont="1" applyBorder="1"/>
    <xf numFmtId="10" fontId="6" fillId="0" borderId="55" xfId="0" applyNumberFormat="1" applyFont="1" applyBorder="1"/>
    <xf numFmtId="171" fontId="6" fillId="0" borderId="55" xfId="0" applyNumberFormat="1" applyFont="1" applyBorder="1"/>
    <xf numFmtId="0" fontId="6" fillId="0" borderId="55" xfId="0" applyFont="1" applyBorder="1"/>
    <xf numFmtId="9" fontId="6" fillId="0" borderId="55" xfId="0" applyNumberFormat="1" applyFont="1" applyBorder="1"/>
    <xf numFmtId="0" fontId="6" fillId="0" borderId="62" xfId="0" applyFont="1" applyBorder="1"/>
    <xf numFmtId="9" fontId="6" fillId="0" borderId="63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9" fontId="5" fillId="0" borderId="54" xfId="0" applyNumberFormat="1" applyFont="1" applyBorder="1"/>
    <xf numFmtId="9" fontId="5" fillId="0" borderId="18" xfId="0" applyNumberFormat="1" applyFont="1" applyBorder="1" applyAlignment="1">
      <alignment horizontal="center"/>
    </xf>
    <xf numFmtId="9" fontId="5" fillId="0" borderId="55" xfId="0" applyNumberFormat="1" applyFont="1" applyBorder="1"/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center" vertical="center"/>
    </xf>
    <xf numFmtId="10" fontId="5" fillId="3" borderId="15" xfId="0" applyNumberFormat="1" applyFont="1" applyFill="1" applyBorder="1" applyAlignment="1">
      <alignment horizontal="center" vertical="center"/>
    </xf>
    <xf numFmtId="10" fontId="5" fillId="0" borderId="54" xfId="0" applyNumberFormat="1" applyFont="1" applyBorder="1" applyAlignment="1">
      <alignment horizontal="right"/>
    </xf>
    <xf numFmtId="10" fontId="5" fillId="0" borderId="18" xfId="0" applyNumberFormat="1" applyFont="1" applyBorder="1" applyAlignment="1">
      <alignment horizontal="right"/>
    </xf>
    <xf numFmtId="10" fontId="5" fillId="0" borderId="55" xfId="0" applyNumberFormat="1" applyFont="1" applyBorder="1" applyAlignment="1">
      <alignment horizontal="right"/>
    </xf>
    <xf numFmtId="0" fontId="5" fillId="0" borderId="54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10" fontId="5" fillId="3" borderId="55" xfId="0" applyNumberFormat="1" applyFont="1" applyFill="1" applyBorder="1" applyAlignment="1">
      <alignment horizontal="center" vertical="center"/>
    </xf>
    <xf numFmtId="10" fontId="5" fillId="0" borderId="55" xfId="0" applyNumberFormat="1" applyFont="1" applyBorder="1" applyAlignment="1">
      <alignment horizontal="center" vertical="center"/>
    </xf>
    <xf numFmtId="10" fontId="5" fillId="3" borderId="18" xfId="0" applyNumberFormat="1" applyFont="1" applyFill="1" applyBorder="1" applyAlignment="1">
      <alignment horizontal="center"/>
    </xf>
    <xf numFmtId="10" fontId="5" fillId="0" borderId="55" xfId="0" applyNumberFormat="1" applyFont="1" applyBorder="1"/>
    <xf numFmtId="0" fontId="5" fillId="0" borderId="54" xfId="0" applyFont="1" applyBorder="1" applyAlignment="1">
      <alignment horizontal="right"/>
    </xf>
    <xf numFmtId="0" fontId="5" fillId="3" borderId="18" xfId="0" applyFont="1" applyFill="1" applyBorder="1" applyAlignment="1">
      <alignment horizontal="center"/>
    </xf>
    <xf numFmtId="0" fontId="5" fillId="0" borderId="56" xfId="0" applyFont="1" applyBorder="1" applyAlignment="1">
      <alignment horizontal="left" vertical="center"/>
    </xf>
    <xf numFmtId="10" fontId="5" fillId="3" borderId="5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0" fontId="5" fillId="0" borderId="52" xfId="0" applyNumberFormat="1" applyFont="1" applyBorder="1" applyAlignment="1">
      <alignment vertical="center"/>
    </xf>
    <xf numFmtId="0" fontId="5" fillId="0" borderId="62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6" fillId="8" borderId="46" xfId="0" applyFont="1" applyFill="1" applyBorder="1" applyAlignment="1">
      <alignment vertical="center" wrapText="1"/>
    </xf>
    <xf numFmtId="0" fontId="5" fillId="8" borderId="38" xfId="0" applyFont="1" applyFill="1" applyBorder="1" applyAlignment="1">
      <alignment vertical="center"/>
    </xf>
    <xf numFmtId="10" fontId="6" fillId="8" borderId="31" xfId="0" applyNumberFormat="1" applyFont="1" applyFill="1" applyBorder="1" applyAlignment="1">
      <alignment horizontal="center" vertical="center" wrapText="1"/>
    </xf>
    <xf numFmtId="10" fontId="5" fillId="0" borderId="56" xfId="0" applyNumberFormat="1" applyFont="1" applyBorder="1" applyAlignment="1">
      <alignment horizontal="right"/>
    </xf>
    <xf numFmtId="10" fontId="5" fillId="0" borderId="20" xfId="0" applyNumberFormat="1" applyFont="1" applyBorder="1" applyAlignment="1">
      <alignment horizontal="right"/>
    </xf>
    <xf numFmtId="10" fontId="5" fillId="0" borderId="5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5" fillId="0" borderId="54" xfId="0" applyFont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2" fontId="24" fillId="11" borderId="18" xfId="0" applyNumberFormat="1" applyFont="1" applyFill="1" applyBorder="1" applyAlignment="1">
      <alignment horizontal="right" vertical="center"/>
    </xf>
    <xf numFmtId="0" fontId="24" fillId="0" borderId="56" xfId="0" applyFont="1" applyBorder="1" applyAlignment="1">
      <alignment horizontal="center" vertical="center"/>
    </xf>
    <xf numFmtId="2" fontId="24" fillId="11" borderId="20" xfId="0" applyNumberFormat="1" applyFont="1" applyFill="1" applyBorder="1" applyAlignment="1">
      <alignment horizontal="right" vertical="center"/>
    </xf>
    <xf numFmtId="0" fontId="3" fillId="10" borderId="67" xfId="0" applyFont="1" applyFill="1" applyBorder="1" applyAlignment="1">
      <alignment horizontal="center"/>
    </xf>
    <xf numFmtId="0" fontId="2" fillId="0" borderId="68" xfId="0" applyFont="1" applyBorder="1"/>
    <xf numFmtId="0" fontId="22" fillId="0" borderId="68" xfId="0" applyFont="1" applyBorder="1" applyAlignment="1">
      <alignment horizontal="left"/>
    </xf>
    <xf numFmtId="0" fontId="22" fillId="0" borderId="69" xfId="0" applyFont="1" applyBorder="1" applyAlignment="1">
      <alignment horizontal="left"/>
    </xf>
    <xf numFmtId="164" fontId="1" fillId="0" borderId="16" xfId="0" applyNumberFormat="1" applyFont="1" applyBorder="1" applyAlignment="1">
      <alignment horizontal="left" vertical="center"/>
    </xf>
    <xf numFmtId="0" fontId="4" fillId="0" borderId="17" xfId="0" applyFont="1" applyBorder="1"/>
    <xf numFmtId="0" fontId="21" fillId="0" borderId="29" xfId="0" applyFont="1" applyBorder="1" applyAlignment="1"/>
    <xf numFmtId="0" fontId="4" fillId="0" borderId="30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164" fontId="7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164" fontId="1" fillId="0" borderId="22" xfId="0" applyNumberFormat="1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1" fillId="0" borderId="22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53" xfId="0" applyFont="1" applyBorder="1"/>
    <xf numFmtId="0" fontId="3" fillId="10" borderId="1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0" fontId="4" fillId="0" borderId="66" xfId="0" applyFont="1" applyBorder="1"/>
    <xf numFmtId="0" fontId="7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88"/>
  <sheetViews>
    <sheetView tabSelected="1" topLeftCell="A211" workbookViewId="0"/>
  </sheetViews>
  <sheetFormatPr defaultColWidth="12.5703125" defaultRowHeight="15" customHeight="1" x14ac:dyDescent="0.2"/>
  <cols>
    <col min="1" max="1" width="44.5703125" customWidth="1"/>
    <col min="2" max="2" width="16" customWidth="1"/>
    <col min="3" max="3" width="11.85546875" customWidth="1"/>
    <col min="4" max="4" width="14.7109375" customWidth="1"/>
    <col min="5" max="5" width="15.42578125" customWidth="1"/>
    <col min="6" max="6" width="13.28515625" customWidth="1"/>
    <col min="7" max="7" width="15.28515625" customWidth="1"/>
    <col min="8" max="20" width="9.140625" customWidth="1"/>
  </cols>
  <sheetData>
    <row r="1" spans="1:20" ht="16.5" customHeight="1" x14ac:dyDescent="0.2">
      <c r="A1" s="1"/>
      <c r="B1" s="2" t="s">
        <v>0</v>
      </c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2.75" customHeight="1" x14ac:dyDescent="0.2">
      <c r="A2" s="313" t="s">
        <v>1</v>
      </c>
      <c r="B2" s="314"/>
      <c r="C2" s="314"/>
      <c r="D2" s="314"/>
      <c r="E2" s="314"/>
      <c r="F2" s="31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21.75" customHeight="1" x14ac:dyDescent="0.2">
      <c r="A3" s="316" t="s">
        <v>2</v>
      </c>
      <c r="B3" s="317"/>
      <c r="C3" s="317"/>
      <c r="D3" s="317"/>
      <c r="E3" s="317"/>
      <c r="F3" s="31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0.5" customHeight="1" x14ac:dyDescent="0.2">
      <c r="A4" s="6"/>
      <c r="B4" s="3"/>
      <c r="C4" s="3"/>
      <c r="D4" s="4"/>
      <c r="E4" s="4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 x14ac:dyDescent="0.2">
      <c r="A5" s="319" t="s">
        <v>3</v>
      </c>
      <c r="B5" s="320"/>
      <c r="C5" s="320"/>
      <c r="D5" s="320"/>
      <c r="E5" s="320"/>
      <c r="F5" s="32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customHeight="1" x14ac:dyDescent="0.2">
      <c r="A6" s="8" t="s">
        <v>4</v>
      </c>
      <c r="B6" s="9"/>
      <c r="C6" s="9"/>
      <c r="D6" s="10"/>
      <c r="E6" s="11" t="s">
        <v>5</v>
      </c>
      <c r="F6" s="12" t="s">
        <v>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75" customHeight="1" x14ac:dyDescent="0.2">
      <c r="A7" s="13" t="str">
        <f>A46</f>
        <v>1. Mão-de-obra</v>
      </c>
      <c r="B7" s="14"/>
      <c r="C7" s="14"/>
      <c r="D7" s="14"/>
      <c r="E7" s="15">
        <f>+F81</f>
        <v>8104.0561171396339</v>
      </c>
      <c r="F7" s="16">
        <f t="shared" ref="F7:F29" si="0">IFERROR(E7/$E$30,0)</f>
        <v>0.11338707092497356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 x14ac:dyDescent="0.2">
      <c r="A8" s="18" t="str">
        <f>A48</f>
        <v xml:space="preserve">1.1. Motorista </v>
      </c>
      <c r="B8" s="19"/>
      <c r="C8" s="19"/>
      <c r="D8" s="19"/>
      <c r="E8" s="20">
        <f>F61</f>
        <v>5268.9700654990556</v>
      </c>
      <c r="F8" s="21">
        <f t="shared" si="0"/>
        <v>7.3720254880116867E-2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customHeight="1" x14ac:dyDescent="0.2">
      <c r="A9" s="18" t="str">
        <f>A64</f>
        <v>Piso da categoria (2)</v>
      </c>
      <c r="B9" s="19"/>
      <c r="C9" s="19"/>
      <c r="D9" s="19"/>
      <c r="E9" s="20">
        <f>F69</f>
        <v>0</v>
      </c>
      <c r="F9" s="21">
        <f t="shared" si="0"/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 customHeight="1" x14ac:dyDescent="0.2">
      <c r="A10" s="18" t="str">
        <f>A71</f>
        <v>Soma</v>
      </c>
      <c r="B10" s="19"/>
      <c r="C10" s="19"/>
      <c r="D10" s="19"/>
      <c r="E10" s="20">
        <f>F74</f>
        <v>0</v>
      </c>
      <c r="F10" s="21">
        <f t="shared" si="0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 x14ac:dyDescent="0.2">
      <c r="A11" s="18" t="str">
        <f>A76</f>
        <v>1.4. Auxílio Alimentação (mensal)</v>
      </c>
      <c r="B11" s="19"/>
      <c r="C11" s="19"/>
      <c r="D11" s="19"/>
      <c r="E11" s="20">
        <f>F79</f>
        <v>178.92</v>
      </c>
      <c r="F11" s="21">
        <f t="shared" si="0"/>
        <v>2.5033408501441549E-3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 x14ac:dyDescent="0.2">
      <c r="A12" s="309" t="str">
        <f>A83</f>
        <v>2. Uniformes e Equipamentos de Proteção Individual</v>
      </c>
      <c r="B12" s="310"/>
      <c r="C12" s="310"/>
      <c r="D12" s="14"/>
      <c r="E12" s="15">
        <f>+F102</f>
        <v>344.71026110293337</v>
      </c>
      <c r="F12" s="16">
        <f t="shared" si="0"/>
        <v>4.8229783036151958E-3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5.75" customHeight="1" x14ac:dyDescent="0.2">
      <c r="A13" s="22" t="str">
        <f>A104</f>
        <v>3. Veículos e Equipamentos</v>
      </c>
      <c r="B13" s="23"/>
      <c r="C13" s="14"/>
      <c r="D13" s="14"/>
      <c r="E13" s="15">
        <f>+F261</f>
        <v>35347.735757500006</v>
      </c>
      <c r="F13" s="16">
        <f t="shared" si="0"/>
        <v>0.4945642235739493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.75" customHeight="1" x14ac:dyDescent="0.2">
      <c r="A14" s="24" t="str">
        <f>A106</f>
        <v>3.1. Veículo - Caminhão Tipo Caçamba</v>
      </c>
      <c r="B14" s="25"/>
      <c r="C14" s="19"/>
      <c r="D14" s="19"/>
      <c r="E14" s="20">
        <f>SUM(E15:E21)</f>
        <v>29433.614020833338</v>
      </c>
      <c r="F14" s="21">
        <f t="shared" si="0"/>
        <v>0.41181739518068328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 customHeight="1" x14ac:dyDescent="0.2">
      <c r="A15" s="26" t="s">
        <v>7</v>
      </c>
      <c r="B15" s="25"/>
      <c r="C15" s="19"/>
      <c r="D15" s="19"/>
      <c r="E15" s="20">
        <f>F122</f>
        <v>10754.700000000003</v>
      </c>
      <c r="F15" s="21">
        <f t="shared" si="0"/>
        <v>0.15047328326092863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 x14ac:dyDescent="0.2">
      <c r="A16" s="26" t="s">
        <v>8</v>
      </c>
      <c r="B16" s="25"/>
      <c r="C16" s="19"/>
      <c r="D16" s="19"/>
      <c r="E16" s="20">
        <f>F138</f>
        <v>7433.4954375000007</v>
      </c>
      <c r="F16" s="21">
        <f t="shared" si="0"/>
        <v>0.10400498987287027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 customHeight="1" x14ac:dyDescent="0.2">
      <c r="A17" s="24" t="str">
        <f>A140</f>
        <v>3.1.3. Impostos e Seguros</v>
      </c>
      <c r="B17" s="25"/>
      <c r="C17" s="19"/>
      <c r="D17" s="19"/>
      <c r="E17" s="20">
        <f>F146</f>
        <v>835.9587499999999</v>
      </c>
      <c r="F17" s="21">
        <f t="shared" si="0"/>
        <v>1.1696231208978565E-2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 x14ac:dyDescent="0.2">
      <c r="A18" s="24" t="str">
        <f>A148</f>
        <v>3.1.4. Consumos</v>
      </c>
      <c r="B18" s="25"/>
      <c r="C18" s="19"/>
      <c r="D18" s="19"/>
      <c r="E18" s="20">
        <f>F166</f>
        <v>7307.342333333334</v>
      </c>
      <c r="F18" s="21">
        <f t="shared" si="0"/>
        <v>0.10223993163995664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 x14ac:dyDescent="0.2">
      <c r="A19" s="24" t="str">
        <f>A168</f>
        <v>3.1.5. Manutenção</v>
      </c>
      <c r="B19" s="25"/>
      <c r="C19" s="19"/>
      <c r="D19" s="19"/>
      <c r="E19" s="20">
        <f>F171</f>
        <v>2397</v>
      </c>
      <c r="F19" s="21">
        <f t="shared" si="0"/>
        <v>3.3537379934023809E-2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 x14ac:dyDescent="0.2">
      <c r="A20" s="24" t="str">
        <f>A173</f>
        <v>3.1.6. Pneus</v>
      </c>
      <c r="B20" s="25"/>
      <c r="C20" s="19"/>
      <c r="D20" s="19"/>
      <c r="E20" s="20">
        <f>F180</f>
        <v>705.11750000000006</v>
      </c>
      <c r="F20" s="21">
        <f t="shared" si="0"/>
        <v>9.8655792639253375E-3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 x14ac:dyDescent="0.2">
      <c r="A21" s="22" t="str">
        <f>A181</f>
        <v>3.1.7. Pedágio</v>
      </c>
      <c r="B21" s="23"/>
      <c r="C21" s="14"/>
      <c r="D21" s="14"/>
      <c r="E21" s="15">
        <f>F184</f>
        <v>0</v>
      </c>
      <c r="F21" s="21">
        <f t="shared" si="0"/>
        <v>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5.75" customHeight="1" x14ac:dyDescent="0.2">
      <c r="A22" s="22" t="str">
        <f>A185</f>
        <v>3.2. Veículo - Retroescavadeira</v>
      </c>
      <c r="B22" s="23"/>
      <c r="C22" s="14"/>
      <c r="D22" s="14"/>
      <c r="E22" s="15">
        <f>SUM(E23:E27)</f>
        <v>5914.1217366666669</v>
      </c>
      <c r="F22" s="21">
        <f t="shared" si="0"/>
        <v>8.2746828393266039E-2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.75" customHeight="1" x14ac:dyDescent="0.2">
      <c r="A23" s="27" t="s">
        <v>9</v>
      </c>
      <c r="B23" s="23"/>
      <c r="C23" s="14"/>
      <c r="D23" s="14"/>
      <c r="E23" s="15">
        <f>F217</f>
        <v>5142.5</v>
      </c>
      <c r="F23" s="21">
        <f t="shared" si="0"/>
        <v>7.1950761915192923E-2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15.75" customHeight="1" x14ac:dyDescent="0.2">
      <c r="A24" s="22" t="str">
        <f>A140</f>
        <v>3.1.3. Impostos e Seguros</v>
      </c>
      <c r="B24" s="23"/>
      <c r="C24" s="14"/>
      <c r="D24" s="14"/>
      <c r="E24" s="15">
        <f>F225</f>
        <v>414.29208333333332</v>
      </c>
      <c r="F24" s="21">
        <f t="shared" si="0"/>
        <v>5.7965252408878811E-3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5.75" customHeight="1" x14ac:dyDescent="0.2">
      <c r="A25" s="22" t="str">
        <f>A227</f>
        <v>3.2.4. Consumos</v>
      </c>
      <c r="B25" s="23"/>
      <c r="C25" s="14"/>
      <c r="D25" s="14"/>
      <c r="E25" s="15">
        <f>F245</f>
        <v>24.049653333333328</v>
      </c>
      <c r="F25" s="21">
        <f t="shared" si="0"/>
        <v>3.3648826079330912E-4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.75" customHeight="1" x14ac:dyDescent="0.2">
      <c r="A26" s="22" t="str">
        <f>A247</f>
        <v>3.2.5. Manutenção</v>
      </c>
      <c r="B26" s="23"/>
      <c r="C26" s="14"/>
      <c r="D26" s="14"/>
      <c r="E26" s="15">
        <f>F250</f>
        <v>320</v>
      </c>
      <c r="F26" s="21">
        <f t="shared" si="0"/>
        <v>4.4772472168909542E-3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15.75" customHeight="1" x14ac:dyDescent="0.2">
      <c r="A27" s="22" t="str">
        <f>A252</f>
        <v>3.2.6. Pneus</v>
      </c>
      <c r="B27" s="23"/>
      <c r="C27" s="14"/>
      <c r="D27" s="14"/>
      <c r="E27" s="15">
        <f>F259</f>
        <v>13.28</v>
      </c>
      <c r="F27" s="21">
        <f t="shared" si="0"/>
        <v>1.858057595009746E-4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15.75" customHeight="1" x14ac:dyDescent="0.2">
      <c r="A28" s="22" t="str">
        <f>A263</f>
        <v>4. Monitoramento da Frota</v>
      </c>
      <c r="B28" s="23"/>
      <c r="C28" s="14"/>
      <c r="D28" s="14"/>
      <c r="E28" s="15">
        <f>+F272</f>
        <v>60.411666666666669</v>
      </c>
      <c r="F28" s="21">
        <f t="shared" si="0"/>
        <v>8.4524364515961689E-4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15.75" customHeight="1" x14ac:dyDescent="0.2">
      <c r="A29" s="22" t="str">
        <f>A284</f>
        <v>6. Benefícios e Despesas Indiretas - BDI</v>
      </c>
      <c r="B29" s="23"/>
      <c r="C29" s="14"/>
      <c r="D29" s="14"/>
      <c r="E29" s="28">
        <f>+F288</f>
        <v>27615.574648253354</v>
      </c>
      <c r="F29" s="21">
        <f t="shared" si="0"/>
        <v>0.38638048355230226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15.75" customHeight="1" x14ac:dyDescent="0.2">
      <c r="A30" s="29" t="s">
        <v>10</v>
      </c>
      <c r="B30" s="30"/>
      <c r="C30" s="31"/>
      <c r="D30" s="31"/>
      <c r="E30" s="32">
        <f t="shared" ref="E30:F30" si="1">E7+E12+E13+E28+E29</f>
        <v>71472.488450662597</v>
      </c>
      <c r="F30" s="33">
        <f t="shared" si="1"/>
        <v>0.99999999999999989</v>
      </c>
      <c r="G30" s="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 x14ac:dyDescent="0.2">
      <c r="A31" s="2"/>
      <c r="B31" s="2"/>
      <c r="C31" s="2"/>
      <c r="D31" s="4"/>
      <c r="E31" s="4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 x14ac:dyDescent="0.2">
      <c r="A32" s="2"/>
      <c r="B32" s="2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" customHeight="1" x14ac:dyDescent="0.2">
      <c r="A33" s="319" t="s">
        <v>11</v>
      </c>
      <c r="B33" s="320"/>
      <c r="C33" s="320"/>
      <c r="D33" s="320"/>
      <c r="E33" s="321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" customHeight="1" x14ac:dyDescent="0.2">
      <c r="A34" s="322" t="s">
        <v>12</v>
      </c>
      <c r="B34" s="323"/>
      <c r="C34" s="323"/>
      <c r="D34" s="324"/>
      <c r="E34" s="34" t="s">
        <v>13</v>
      </c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customHeight="1" x14ac:dyDescent="0.2">
      <c r="A35" s="35" t="str">
        <f>+A48</f>
        <v xml:space="preserve">1.1. Motorista </v>
      </c>
      <c r="B35" s="35"/>
      <c r="C35" s="35"/>
      <c r="D35" s="36"/>
      <c r="E35" s="37">
        <f>C60</f>
        <v>1</v>
      </c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" customHeight="1" x14ac:dyDescent="0.2">
      <c r="A36" s="38" t="s">
        <v>14</v>
      </c>
      <c r="B36" s="39"/>
      <c r="C36" s="39"/>
      <c r="D36" s="36"/>
      <c r="E36" s="40">
        <v>1</v>
      </c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" customHeight="1" x14ac:dyDescent="0.2">
      <c r="A37" s="41" t="s">
        <v>15</v>
      </c>
      <c r="B37" s="39"/>
      <c r="C37" s="39"/>
      <c r="D37" s="36"/>
      <c r="E37" s="42">
        <f>E35+E36</f>
        <v>2</v>
      </c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" customHeight="1" x14ac:dyDescent="0.2">
      <c r="A38" s="43"/>
      <c r="B38" s="44"/>
      <c r="C38" s="4"/>
      <c r="D38" s="4"/>
      <c r="E38" s="7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" customHeight="1" x14ac:dyDescent="0.2">
      <c r="A39" s="325" t="s">
        <v>16</v>
      </c>
      <c r="B39" s="323"/>
      <c r="C39" s="323"/>
      <c r="D39" s="324"/>
      <c r="E39" s="34" t="s">
        <v>13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" customHeight="1" x14ac:dyDescent="0.2">
      <c r="A40" s="45" t="str">
        <f>+A106</f>
        <v>3.1. Veículo - Caminhão Tipo Caçamba</v>
      </c>
      <c r="B40" s="46"/>
      <c r="C40" s="46"/>
      <c r="D40" s="47"/>
      <c r="E40" s="48">
        <f>C121</f>
        <v>1.1000000000000001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customHeight="1" x14ac:dyDescent="0.2">
      <c r="A41" s="326" t="str">
        <f>A185</f>
        <v>3.2. Veículo - Retroescavadeira</v>
      </c>
      <c r="B41" s="310"/>
      <c r="C41" s="310"/>
      <c r="D41" s="312"/>
      <c r="E41" s="37">
        <f>C200</f>
        <v>1.1000000000000001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" customHeight="1" x14ac:dyDescent="0.2">
      <c r="A42" s="4"/>
      <c r="B42" s="4"/>
      <c r="C42" s="4"/>
      <c r="D42" s="2"/>
      <c r="E42" s="4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">
      <c r="A43" s="4"/>
      <c r="B43" s="4"/>
      <c r="C43" s="4"/>
      <c r="D43" s="2"/>
      <c r="E43" s="5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 x14ac:dyDescent="0.2">
      <c r="A44" s="51" t="s">
        <v>17</v>
      </c>
      <c r="B44" s="52">
        <v>1</v>
      </c>
      <c r="C44" s="53"/>
      <c r="D44" s="17"/>
      <c r="E44" s="54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ht="15.75" customHeight="1" x14ac:dyDescent="0.2">
      <c r="A45" s="4"/>
      <c r="B45" s="4"/>
      <c r="C45" s="4"/>
      <c r="D45" s="2"/>
      <c r="E45" s="5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">
      <c r="A46" s="17" t="s">
        <v>18</v>
      </c>
      <c r="B46" s="2"/>
      <c r="C46" s="2"/>
      <c r="D46" s="4"/>
      <c r="E46" s="4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1.25" customHeight="1" x14ac:dyDescent="0.2">
      <c r="A47" s="2"/>
      <c r="B47" s="2"/>
      <c r="C47" s="2"/>
      <c r="D47" s="4"/>
      <c r="E47" s="4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2">
      <c r="A48" s="2" t="s">
        <v>19</v>
      </c>
      <c r="B48" s="2"/>
      <c r="C48" s="2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">
      <c r="A49" s="55" t="s">
        <v>20</v>
      </c>
      <c r="B49" s="56" t="s">
        <v>21</v>
      </c>
      <c r="C49" s="56" t="s">
        <v>13</v>
      </c>
      <c r="D49" s="57" t="s">
        <v>22</v>
      </c>
      <c r="E49" s="57" t="s">
        <v>23</v>
      </c>
      <c r="F49" s="58" t="s">
        <v>24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0" spans="1:20" ht="12.75" customHeight="1" x14ac:dyDescent="0.2">
      <c r="A50" s="60" t="s">
        <v>25</v>
      </c>
      <c r="B50" s="61" t="s">
        <v>26</v>
      </c>
      <c r="C50" s="61">
        <v>1</v>
      </c>
      <c r="D50" s="62">
        <v>2313.61</v>
      </c>
      <c r="E50" s="63">
        <f>C50*D50</f>
        <v>2313.61</v>
      </c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">
      <c r="A51" s="60" t="s">
        <v>27</v>
      </c>
      <c r="B51" s="61" t="s">
        <v>26</v>
      </c>
      <c r="C51" s="61">
        <v>1</v>
      </c>
      <c r="D51" s="64">
        <v>1320</v>
      </c>
      <c r="E51" s="63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">
      <c r="A52" s="36" t="s">
        <v>28</v>
      </c>
      <c r="B52" s="65" t="s">
        <v>29</v>
      </c>
      <c r="C52" s="66">
        <v>7.33</v>
      </c>
      <c r="D52" s="67">
        <f>D50/220*2</f>
        <v>21.032818181818183</v>
      </c>
      <c r="E52" s="67">
        <f t="shared" ref="E52:E53" si="2">C52*D52</f>
        <v>154.17055727272728</v>
      </c>
      <c r="F52" s="6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">
      <c r="A53" s="36" t="s">
        <v>30</v>
      </c>
      <c r="B53" s="65" t="s">
        <v>29</v>
      </c>
      <c r="C53" s="66">
        <v>0</v>
      </c>
      <c r="D53" s="67">
        <f>D50/220*1.5</f>
        <v>15.774613636363636</v>
      </c>
      <c r="E53" s="67">
        <f t="shared" si="2"/>
        <v>0</v>
      </c>
      <c r="F53" s="6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">
      <c r="A54" s="36" t="s">
        <v>31</v>
      </c>
      <c r="B54" s="65" t="s">
        <v>32</v>
      </c>
      <c r="C54" s="2"/>
      <c r="D54" s="67">
        <f>63/302*(SUM(E52:E53))</f>
        <v>32.161407642986156</v>
      </c>
      <c r="E54" s="67">
        <f>D54</f>
        <v>32.161407642986156</v>
      </c>
      <c r="F54" s="6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2">
      <c r="A55" s="36" t="s">
        <v>33</v>
      </c>
      <c r="B55" s="65"/>
      <c r="C55" s="69">
        <v>1</v>
      </c>
      <c r="D55" s="67"/>
      <c r="E55" s="67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">
      <c r="A56" s="36" t="s">
        <v>34</v>
      </c>
      <c r="B56" s="65" t="s">
        <v>6</v>
      </c>
      <c r="C56" s="70">
        <v>40</v>
      </c>
      <c r="D56" s="67">
        <f>IF(C55=2,SUM(E50:E54),IF(C55=1,(SUM(E50:E54))*D51/D50,0))</f>
        <v>1426.3092715231787</v>
      </c>
      <c r="E56" s="67">
        <f>C56*D56/100</f>
        <v>570.52370860927147</v>
      </c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2">
      <c r="A57" s="71" t="s">
        <v>35</v>
      </c>
      <c r="B57" s="72"/>
      <c r="C57" s="72"/>
      <c r="D57" s="73"/>
      <c r="E57" s="74">
        <f>SUM(E50:E56)</f>
        <v>3070.465673524985</v>
      </c>
      <c r="F57" s="7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.75" customHeight="1" x14ac:dyDescent="0.2">
      <c r="A58" s="36" t="s">
        <v>36</v>
      </c>
      <c r="B58" s="65" t="s">
        <v>6</v>
      </c>
      <c r="C58" s="76">
        <f>'2.Encargos Sociais'!$C$33*100</f>
        <v>71.60166000000001</v>
      </c>
      <c r="D58" s="67">
        <f>E57</f>
        <v>3070.465673524985</v>
      </c>
      <c r="E58" s="67">
        <f>D58*C58/100</f>
        <v>2198.5043919740701</v>
      </c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">
      <c r="A59" s="71" t="s">
        <v>37</v>
      </c>
      <c r="B59" s="77"/>
      <c r="C59" s="77"/>
      <c r="D59" s="78"/>
      <c r="E59" s="74">
        <f>E57+E58</f>
        <v>5268.9700654990556</v>
      </c>
      <c r="F59" s="7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12.75" customHeight="1" x14ac:dyDescent="0.2">
      <c r="A60" s="36" t="s">
        <v>38</v>
      </c>
      <c r="B60" s="65" t="s">
        <v>39</v>
      </c>
      <c r="C60" s="70">
        <v>1</v>
      </c>
      <c r="D60" s="67">
        <f>E59</f>
        <v>5268.9700654990556</v>
      </c>
      <c r="E60" s="67">
        <f>C60*D60</f>
        <v>5268.9700654990556</v>
      </c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">
      <c r="A61" s="2"/>
      <c r="B61" s="2"/>
      <c r="C61" s="2"/>
      <c r="D61" s="79" t="s">
        <v>40</v>
      </c>
      <c r="E61" s="35">
        <f>$B$44</f>
        <v>1</v>
      </c>
      <c r="F61" s="80">
        <f>E60*E61</f>
        <v>5268.9700654990556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1.25" customHeight="1" x14ac:dyDescent="0.2">
      <c r="A62" s="81" t="s">
        <v>41</v>
      </c>
      <c r="B62" s="81"/>
      <c r="C62" s="81"/>
      <c r="D62" s="82"/>
      <c r="E62" s="82"/>
      <c r="F62" s="8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1.25" customHeight="1" x14ac:dyDescent="0.2">
      <c r="A63" s="83" t="s">
        <v>20</v>
      </c>
      <c r="B63" s="84" t="s">
        <v>21</v>
      </c>
      <c r="C63" s="84" t="s">
        <v>13</v>
      </c>
      <c r="D63" s="85" t="s">
        <v>22</v>
      </c>
      <c r="E63" s="85" t="s">
        <v>23</v>
      </c>
      <c r="F63" s="86" t="s">
        <v>42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2">
      <c r="A64" s="87" t="s">
        <v>25</v>
      </c>
      <c r="B64" s="88" t="s">
        <v>26</v>
      </c>
      <c r="C64" s="88">
        <v>1</v>
      </c>
      <c r="D64" s="89">
        <v>1930.19</v>
      </c>
      <c r="E64" s="90">
        <f>C64*D64</f>
        <v>1930.19</v>
      </c>
      <c r="F64" s="9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">
      <c r="A65" s="87" t="s">
        <v>27</v>
      </c>
      <c r="B65" s="88" t="s">
        <v>26</v>
      </c>
      <c r="C65" s="88">
        <v>1</v>
      </c>
      <c r="D65" s="92">
        <v>1320</v>
      </c>
      <c r="E65" s="90"/>
      <c r="F65" s="9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">
      <c r="A66" s="87" t="s">
        <v>28</v>
      </c>
      <c r="B66" s="88" t="s">
        <v>29</v>
      </c>
      <c r="C66" s="93">
        <v>7.33</v>
      </c>
      <c r="D66" s="90">
        <f>D64/220*2</f>
        <v>17.547181818181819</v>
      </c>
      <c r="E66" s="90">
        <f t="shared" ref="E66:E67" si="3">C66*D66</f>
        <v>128.62084272727273</v>
      </c>
      <c r="F66" s="9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">
      <c r="A67" s="87" t="s">
        <v>30</v>
      </c>
      <c r="B67" s="88" t="s">
        <v>29</v>
      </c>
      <c r="C67" s="94">
        <v>0</v>
      </c>
      <c r="D67" s="90">
        <f>D64/220*1.5</f>
        <v>13.160386363636364</v>
      </c>
      <c r="E67" s="90">
        <f t="shared" si="3"/>
        <v>0</v>
      </c>
      <c r="F67" s="9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">
      <c r="A68" s="87" t="s">
        <v>31</v>
      </c>
      <c r="B68" s="88" t="s">
        <v>32</v>
      </c>
      <c r="C68" s="95"/>
      <c r="D68" s="90">
        <f>63/302*(SUM(E66:E67))</f>
        <v>26.831500304033717</v>
      </c>
      <c r="E68" s="90">
        <f>D68</f>
        <v>26.831500304033717</v>
      </c>
      <c r="F68" s="9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">
      <c r="A69" s="87" t="s">
        <v>33</v>
      </c>
      <c r="B69" s="88"/>
      <c r="C69" s="96">
        <v>1</v>
      </c>
      <c r="D69" s="90"/>
      <c r="E69" s="90"/>
      <c r="F69" s="9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1.25" customHeight="1" x14ac:dyDescent="0.2">
      <c r="A70" s="87" t="s">
        <v>34</v>
      </c>
      <c r="B70" s="88" t="s">
        <v>6</v>
      </c>
      <c r="C70" s="97">
        <v>40</v>
      </c>
      <c r="D70" s="90">
        <f>IF(C69=2,SUM(E64:E68),IF(C69=1,(SUM(E64:E68))*D65/D64,0))</f>
        <v>1426.3092715231789</v>
      </c>
      <c r="E70" s="90">
        <f>C70*D70/100</f>
        <v>570.52370860927158</v>
      </c>
      <c r="F70" s="9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">
      <c r="A71" s="98" t="s">
        <v>35</v>
      </c>
      <c r="B71" s="99"/>
      <c r="C71" s="99"/>
      <c r="D71" s="100"/>
      <c r="E71" s="101">
        <f>SUM(E64:E70)</f>
        <v>2656.1660516405782</v>
      </c>
      <c r="F71" s="9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">
      <c r="A72" s="87" t="s">
        <v>36</v>
      </c>
      <c r="B72" s="88" t="s">
        <v>6</v>
      </c>
      <c r="C72" s="102">
        <f>'2.Encargos Sociais'!C49*100</f>
        <v>0</v>
      </c>
      <c r="D72" s="90">
        <f>E71</f>
        <v>2656.1660516405782</v>
      </c>
      <c r="E72" s="90">
        <f>D72*C72/100</f>
        <v>0</v>
      </c>
      <c r="F72" s="9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">
      <c r="A73" s="98" t="s">
        <v>37</v>
      </c>
      <c r="B73" s="99"/>
      <c r="C73" s="103"/>
      <c r="D73" s="100"/>
      <c r="E73" s="101">
        <f>E71+E72</f>
        <v>2656.1660516405782</v>
      </c>
      <c r="F73" s="9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">
      <c r="A74" s="87" t="s">
        <v>38</v>
      </c>
      <c r="B74" s="88" t="s">
        <v>39</v>
      </c>
      <c r="C74" s="104">
        <v>1</v>
      </c>
      <c r="D74" s="90">
        <f>E73</f>
        <v>2656.1660516405782</v>
      </c>
      <c r="E74" s="90">
        <f>C74*D74</f>
        <v>2656.1660516405782</v>
      </c>
      <c r="F74" s="8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">
      <c r="A75" s="105"/>
      <c r="B75" s="105"/>
      <c r="C75" s="105"/>
      <c r="D75" s="106" t="s">
        <v>40</v>
      </c>
      <c r="E75" s="107">
        <f>$B$44</f>
        <v>1</v>
      </c>
      <c r="F75" s="108">
        <f>E74*E75</f>
        <v>2656.1660516405782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">
      <c r="A76" s="2" t="s">
        <v>43</v>
      </c>
      <c r="B76" s="2"/>
      <c r="C76" s="2"/>
      <c r="D76" s="4"/>
      <c r="E76" s="4"/>
      <c r="F76" s="7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">
      <c r="A77" s="55" t="s">
        <v>20</v>
      </c>
      <c r="B77" s="56" t="s">
        <v>21</v>
      </c>
      <c r="C77" s="56" t="s">
        <v>13</v>
      </c>
      <c r="D77" s="57" t="s">
        <v>22</v>
      </c>
      <c r="E77" s="57" t="s">
        <v>23</v>
      </c>
      <c r="F77" s="58" t="s">
        <v>44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">
      <c r="A78" s="36" t="str">
        <f>+A73</f>
        <v>Total por Motorista</v>
      </c>
      <c r="B78" s="65" t="s">
        <v>45</v>
      </c>
      <c r="C78" s="109">
        <v>2</v>
      </c>
      <c r="D78" s="110">
        <v>89.46</v>
      </c>
      <c r="E78" s="35">
        <f>C78*D78</f>
        <v>178.92</v>
      </c>
      <c r="F78" s="7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">
      <c r="A79" s="2"/>
      <c r="B79" s="2"/>
      <c r="C79" s="2"/>
      <c r="D79" s="79" t="s">
        <v>40</v>
      </c>
      <c r="E79" s="35">
        <f>$B$44</f>
        <v>1</v>
      </c>
      <c r="F79" s="111">
        <f>SUM(E78)*E79</f>
        <v>178.92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">
      <c r="A80" s="2"/>
      <c r="B80" s="2"/>
      <c r="C80" s="2"/>
      <c r="D80" s="4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">
      <c r="A81" s="112" t="s">
        <v>46</v>
      </c>
      <c r="B81" s="113"/>
      <c r="C81" s="113"/>
      <c r="D81" s="31"/>
      <c r="E81" s="114"/>
      <c r="F81" s="115">
        <f>F79+F75+F69+F61</f>
        <v>8104.0561171396339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">
      <c r="A82" s="2"/>
      <c r="B82" s="2"/>
      <c r="C82" s="2"/>
      <c r="D82" s="4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">
      <c r="A83" s="17" t="s">
        <v>47</v>
      </c>
      <c r="B83" s="2"/>
      <c r="C83" s="2"/>
      <c r="D83" s="4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1.25" customHeight="1" x14ac:dyDescent="0.2">
      <c r="A84" s="2"/>
      <c r="B84" s="2"/>
      <c r="C84" s="2"/>
      <c r="D84" s="4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3.5" customHeight="1" x14ac:dyDescent="0.2">
      <c r="A85" s="2" t="s">
        <v>48</v>
      </c>
      <c r="B85" s="2"/>
      <c r="C85" s="2"/>
      <c r="D85" s="4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1.25" customHeight="1" x14ac:dyDescent="0.2">
      <c r="A86" s="2"/>
      <c r="B86" s="2"/>
      <c r="C86" s="2"/>
      <c r="D86" s="4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7.75" customHeight="1" x14ac:dyDescent="0.2">
      <c r="A87" s="55" t="s">
        <v>20</v>
      </c>
      <c r="B87" s="56" t="s">
        <v>21</v>
      </c>
      <c r="C87" s="116" t="s">
        <v>49</v>
      </c>
      <c r="D87" s="57" t="s">
        <v>22</v>
      </c>
      <c r="E87" s="57" t="s">
        <v>23</v>
      </c>
      <c r="F87" s="58" t="s">
        <v>50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">
      <c r="A88" s="60" t="s">
        <v>51</v>
      </c>
      <c r="B88" s="61" t="s">
        <v>45</v>
      </c>
      <c r="C88" s="117">
        <v>6</v>
      </c>
      <c r="D88" s="118">
        <v>118.35990144000002</v>
      </c>
      <c r="E88" s="63">
        <f t="shared" ref="E88:E97" si="4">IFERROR(D88/C88,0)</f>
        <v>19.726650240000001</v>
      </c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">
      <c r="A89" s="36" t="s">
        <v>52</v>
      </c>
      <c r="B89" s="65" t="s">
        <v>45</v>
      </c>
      <c r="C89" s="117">
        <v>3</v>
      </c>
      <c r="D89" s="118">
        <v>45.431073280000014</v>
      </c>
      <c r="E89" s="63">
        <f t="shared" si="4"/>
        <v>15.143691093333338</v>
      </c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">
      <c r="A90" s="36" t="s">
        <v>53</v>
      </c>
      <c r="B90" s="65" t="s">
        <v>45</v>
      </c>
      <c r="C90" s="117">
        <v>3</v>
      </c>
      <c r="D90" s="118">
        <v>29.888864000000005</v>
      </c>
      <c r="E90" s="63">
        <f t="shared" si="4"/>
        <v>9.9629546666666684</v>
      </c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">
      <c r="A91" s="36" t="s">
        <v>54</v>
      </c>
      <c r="B91" s="65" t="s">
        <v>45</v>
      </c>
      <c r="C91" s="117">
        <v>12</v>
      </c>
      <c r="D91" s="118">
        <v>35.866636800000002</v>
      </c>
      <c r="E91" s="63">
        <f t="shared" si="4"/>
        <v>2.9888864000000002</v>
      </c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5" customHeight="1" x14ac:dyDescent="0.2">
      <c r="A92" s="36" t="s">
        <v>55</v>
      </c>
      <c r="B92" s="65" t="s">
        <v>56</v>
      </c>
      <c r="C92" s="117">
        <v>6</v>
      </c>
      <c r="D92" s="118">
        <v>51.408846080000004</v>
      </c>
      <c r="E92" s="63">
        <f t="shared" si="4"/>
        <v>8.5681410133333333</v>
      </c>
      <c r="F92" s="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">
      <c r="A93" s="36" t="s">
        <v>57</v>
      </c>
      <c r="B93" s="65" t="s">
        <v>56</v>
      </c>
      <c r="C93" s="117">
        <v>3</v>
      </c>
      <c r="D93" s="118">
        <v>5.965817254400001</v>
      </c>
      <c r="E93" s="63">
        <f t="shared" si="4"/>
        <v>1.9886057514666671</v>
      </c>
      <c r="F93" s="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">
      <c r="A94" s="36" t="s">
        <v>58</v>
      </c>
      <c r="B94" s="65" t="s">
        <v>45</v>
      </c>
      <c r="C94" s="117">
        <v>6</v>
      </c>
      <c r="D94" s="118">
        <v>23.911091200000005</v>
      </c>
      <c r="E94" s="63">
        <f t="shared" si="4"/>
        <v>3.9851818666666676</v>
      </c>
      <c r="F94" s="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">
      <c r="A95" s="119" t="s">
        <v>59</v>
      </c>
      <c r="B95" s="120" t="s">
        <v>45</v>
      </c>
      <c r="C95" s="117">
        <v>1</v>
      </c>
      <c r="D95" s="121">
        <v>5.9777728000000012</v>
      </c>
      <c r="E95" s="63">
        <f t="shared" si="4"/>
        <v>5.9777728000000012</v>
      </c>
      <c r="F95" s="122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</row>
    <row r="96" spans="1:20" ht="12.75" customHeight="1" x14ac:dyDescent="0.2">
      <c r="A96" s="119" t="s">
        <v>60</v>
      </c>
      <c r="B96" s="120" t="s">
        <v>45</v>
      </c>
      <c r="C96" s="117">
        <v>1</v>
      </c>
      <c r="D96" s="121">
        <v>2.3911091200000003</v>
      </c>
      <c r="E96" s="63">
        <f t="shared" si="4"/>
        <v>2.3911091200000003</v>
      </c>
      <c r="F96" s="122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</row>
    <row r="97" spans="1:20" ht="12.75" customHeight="1" x14ac:dyDescent="0.2">
      <c r="A97" s="36" t="s">
        <v>61</v>
      </c>
      <c r="B97" s="65" t="s">
        <v>62</v>
      </c>
      <c r="C97" s="117">
        <v>1</v>
      </c>
      <c r="D97" s="118">
        <v>17.933318400000001</v>
      </c>
      <c r="E97" s="63">
        <f t="shared" si="4"/>
        <v>17.933318400000001</v>
      </c>
      <c r="F97" s="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">
      <c r="A98" s="36" t="s">
        <v>63</v>
      </c>
      <c r="B98" s="65" t="s">
        <v>64</v>
      </c>
      <c r="C98" s="37">
        <v>1</v>
      </c>
      <c r="D98" s="124">
        <v>83.688819200000012</v>
      </c>
      <c r="E98" s="67">
        <f t="shared" ref="E98:E99" si="5">C98*D98</f>
        <v>83.688819200000012</v>
      </c>
      <c r="F98" s="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">
      <c r="A99" s="36" t="s">
        <v>38</v>
      </c>
      <c r="B99" s="65" t="s">
        <v>39</v>
      </c>
      <c r="C99" s="37">
        <f>E37</f>
        <v>2</v>
      </c>
      <c r="D99" s="67">
        <f>+SUM(E88:E98)</f>
        <v>172.35513055146669</v>
      </c>
      <c r="E99" s="67">
        <f t="shared" si="5"/>
        <v>344.71026110293337</v>
      </c>
      <c r="F99" s="12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">
      <c r="A100" s="2"/>
      <c r="B100" s="2"/>
      <c r="C100" s="2"/>
      <c r="D100" s="79" t="s">
        <v>40</v>
      </c>
      <c r="E100" s="35">
        <f>$B$44</f>
        <v>1</v>
      </c>
      <c r="F100" s="126">
        <f>E99*E100</f>
        <v>344.71026110293337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1.25" customHeight="1" x14ac:dyDescent="0.2">
      <c r="A101" s="2"/>
      <c r="B101" s="2"/>
      <c r="C101" s="2"/>
      <c r="D101" s="4"/>
      <c r="E101" s="4"/>
      <c r="F101" s="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">
      <c r="A102" s="112" t="s">
        <v>65</v>
      </c>
      <c r="B102" s="127"/>
      <c r="C102" s="127"/>
      <c r="D102" s="128"/>
      <c r="E102" s="129"/>
      <c r="F102" s="130">
        <f>+F100</f>
        <v>344.71026110293337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1.25" customHeight="1" x14ac:dyDescent="0.2">
      <c r="A103" s="2"/>
      <c r="B103" s="2"/>
      <c r="C103" s="2"/>
      <c r="D103" s="4"/>
      <c r="E103" s="4"/>
      <c r="F103" s="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">
      <c r="A104" s="17" t="s">
        <v>66</v>
      </c>
      <c r="B104" s="2"/>
      <c r="C104" s="2"/>
      <c r="D104" s="4"/>
      <c r="E104" s="4"/>
      <c r="F104" s="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1.25" customHeight="1" x14ac:dyDescent="0.2">
      <c r="A105" s="2"/>
      <c r="B105" s="131"/>
      <c r="C105" s="2"/>
      <c r="D105" s="4"/>
      <c r="E105" s="4"/>
      <c r="F105" s="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">
      <c r="A106" s="132" t="s">
        <v>67</v>
      </c>
      <c r="B106" s="2"/>
      <c r="C106" s="2"/>
      <c r="D106" s="4"/>
      <c r="E106" s="4"/>
      <c r="F106" s="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1.25" customHeight="1" x14ac:dyDescent="0.2">
      <c r="A107" s="2"/>
      <c r="B107" s="2"/>
      <c r="C107" s="2"/>
      <c r="D107" s="4"/>
      <c r="E107" s="4"/>
      <c r="F107" s="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">
      <c r="A108" s="131" t="s">
        <v>68</v>
      </c>
      <c r="B108" s="2"/>
      <c r="C108" s="2"/>
      <c r="D108" s="4"/>
      <c r="E108" s="4"/>
      <c r="F108" s="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">
      <c r="A109" s="55" t="s">
        <v>20</v>
      </c>
      <c r="B109" s="56" t="s">
        <v>21</v>
      </c>
      <c r="C109" s="56" t="s">
        <v>13</v>
      </c>
      <c r="D109" s="57" t="s">
        <v>22</v>
      </c>
      <c r="E109" s="57" t="s">
        <v>23</v>
      </c>
      <c r="F109" s="58" t="s">
        <v>69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2">
      <c r="A110" s="60" t="s">
        <v>70</v>
      </c>
      <c r="B110" s="61" t="s">
        <v>45</v>
      </c>
      <c r="C110" s="61">
        <v>1</v>
      </c>
      <c r="D110" s="133">
        <v>900000</v>
      </c>
      <c r="E110" s="134">
        <f>C110*D110</f>
        <v>900000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 x14ac:dyDescent="0.2">
      <c r="A111" s="36" t="s">
        <v>71</v>
      </c>
      <c r="B111" s="65" t="s">
        <v>72</v>
      </c>
      <c r="C111" s="70">
        <v>10</v>
      </c>
      <c r="D111" s="67"/>
      <c r="E111" s="6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2">
      <c r="A112" s="36" t="s">
        <v>73</v>
      </c>
      <c r="B112" s="65" t="s">
        <v>72</v>
      </c>
      <c r="C112" s="70">
        <v>0</v>
      </c>
      <c r="D112" s="67"/>
      <c r="E112" s="6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2">
      <c r="A113" s="36" t="s">
        <v>74</v>
      </c>
      <c r="B113" s="65" t="s">
        <v>6</v>
      </c>
      <c r="C113" s="76">
        <f>IFERROR(VLOOKUP(C111,'5. Depreciação'!A3:B17,2,FALSE),0)</f>
        <v>65.180000000000007</v>
      </c>
      <c r="D113" s="67">
        <f>E110</f>
        <v>900000</v>
      </c>
      <c r="E113" s="67">
        <f>C113*D113/100</f>
        <v>586620.00000000012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2">
      <c r="A114" s="135" t="s">
        <v>75</v>
      </c>
      <c r="B114" s="136" t="s">
        <v>26</v>
      </c>
      <c r="C114" s="136">
        <v>60</v>
      </c>
      <c r="D114" s="137">
        <f>IF(C112&lt;=C111,E113,0)</f>
        <v>586620.00000000012</v>
      </c>
      <c r="E114" s="137">
        <f>IFERROR(D114/C114,0)</f>
        <v>9777.0000000000018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customHeight="1" x14ac:dyDescent="0.2">
      <c r="A115" s="138" t="s">
        <v>76</v>
      </c>
      <c r="B115" s="61" t="s">
        <v>45</v>
      </c>
      <c r="C115" s="61">
        <v>1</v>
      </c>
      <c r="D115" s="62">
        <v>0</v>
      </c>
      <c r="E115" s="63">
        <f>C115*D115</f>
        <v>0</v>
      </c>
      <c r="G115" s="13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customHeight="1" x14ac:dyDescent="0.2">
      <c r="A116" s="140" t="s">
        <v>77</v>
      </c>
      <c r="B116" s="65" t="s">
        <v>72</v>
      </c>
      <c r="C116" s="70">
        <v>10</v>
      </c>
      <c r="D116" s="67">
        <v>1</v>
      </c>
      <c r="E116" s="67"/>
      <c r="F116" s="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customHeight="1" x14ac:dyDescent="0.2">
      <c r="A117" s="140" t="s">
        <v>78</v>
      </c>
      <c r="B117" s="65" t="s">
        <v>72</v>
      </c>
      <c r="C117" s="70">
        <v>0</v>
      </c>
      <c r="D117" s="67"/>
      <c r="E117" s="67"/>
      <c r="F117" s="14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customHeight="1" x14ac:dyDescent="0.2">
      <c r="A118" s="140" t="s">
        <v>79</v>
      </c>
      <c r="B118" s="65" t="s">
        <v>6</v>
      </c>
      <c r="C118" s="142">
        <f>IFERROR(VLOOKUP(C116,'5. Depreciação'!A3:B17,2,FALSE),0)</f>
        <v>65.180000000000007</v>
      </c>
      <c r="D118" s="67">
        <f>E115</f>
        <v>0</v>
      </c>
      <c r="E118" s="67">
        <f>C118*D118/100</f>
        <v>0</v>
      </c>
      <c r="F118" s="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customHeight="1" x14ac:dyDescent="0.2">
      <c r="A119" s="71" t="s">
        <v>80</v>
      </c>
      <c r="B119" s="143" t="s">
        <v>26</v>
      </c>
      <c r="C119" s="143">
        <v>60</v>
      </c>
      <c r="D119" s="74">
        <f>IF(C117&lt;=C116,E118,0)</f>
        <v>0</v>
      </c>
      <c r="E119" s="74">
        <f>IFERROR(D119/C119,0)</f>
        <v>0</v>
      </c>
      <c r="F119" s="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customHeight="1" x14ac:dyDescent="0.2">
      <c r="A120" s="144" t="s">
        <v>81</v>
      </c>
      <c r="B120" s="72"/>
      <c r="C120" s="72"/>
      <c r="D120" s="73"/>
      <c r="E120" s="145">
        <f>E114+E119</f>
        <v>9777.0000000000018</v>
      </c>
      <c r="F120" s="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customHeight="1" x14ac:dyDescent="0.2">
      <c r="A121" s="71" t="s">
        <v>82</v>
      </c>
      <c r="B121" s="143" t="s">
        <v>45</v>
      </c>
      <c r="C121" s="70">
        <v>1.1000000000000001</v>
      </c>
      <c r="D121" s="74">
        <f>E120</f>
        <v>9777.0000000000018</v>
      </c>
      <c r="E121" s="145">
        <f>C121*D121</f>
        <v>10754.700000000003</v>
      </c>
      <c r="F121" s="12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customHeight="1" x14ac:dyDescent="0.2">
      <c r="A122" s="146"/>
      <c r="B122" s="146"/>
      <c r="C122" s="146"/>
      <c r="D122" s="79" t="s">
        <v>40</v>
      </c>
      <c r="E122" s="35">
        <f>$B$44</f>
        <v>1</v>
      </c>
      <c r="F122" s="130">
        <f>E121*E122</f>
        <v>10754.700000000003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1.25" customHeight="1" x14ac:dyDescent="0.2">
      <c r="A123" s="2"/>
      <c r="B123" s="2"/>
      <c r="C123" s="2"/>
      <c r="D123" s="147"/>
      <c r="E123" s="4"/>
      <c r="F123" s="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customHeight="1" x14ac:dyDescent="0.2">
      <c r="A124" s="131" t="s">
        <v>83</v>
      </c>
      <c r="B124" s="2"/>
      <c r="C124" s="2"/>
      <c r="D124" s="4"/>
      <c r="E124" s="4"/>
      <c r="F124" s="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customHeight="1" x14ac:dyDescent="0.2">
      <c r="A125" s="148" t="s">
        <v>20</v>
      </c>
      <c r="B125" s="149" t="s">
        <v>21</v>
      </c>
      <c r="C125" s="149" t="s">
        <v>13</v>
      </c>
      <c r="D125" s="57" t="s">
        <v>22</v>
      </c>
      <c r="E125" s="150" t="s">
        <v>23</v>
      </c>
      <c r="F125" s="58" t="s">
        <v>84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customHeight="1" x14ac:dyDescent="0.2">
      <c r="A126" s="36" t="s">
        <v>85</v>
      </c>
      <c r="B126" s="65" t="s">
        <v>45</v>
      </c>
      <c r="C126" s="61">
        <v>1</v>
      </c>
      <c r="D126" s="67">
        <f>D110</f>
        <v>900000</v>
      </c>
      <c r="E126" s="65">
        <f>C126*D126</f>
        <v>900000</v>
      </c>
      <c r="F126" s="14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customHeight="1" x14ac:dyDescent="0.2">
      <c r="A127" s="36" t="s">
        <v>86</v>
      </c>
      <c r="B127" s="65" t="s">
        <v>6</v>
      </c>
      <c r="C127" s="151">
        <v>12.75</v>
      </c>
      <c r="D127" s="67"/>
      <c r="E127" s="67"/>
      <c r="F127" s="14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customHeight="1" x14ac:dyDescent="0.2">
      <c r="A128" s="36" t="s">
        <v>87</v>
      </c>
      <c r="B128" s="65" t="s">
        <v>32</v>
      </c>
      <c r="C128" s="67">
        <f>IFERROR(IF(C112&lt;=C111,E110-(C113/(100*C111)*C112)*E110,E110-E113),0)</f>
        <v>900000</v>
      </c>
      <c r="D128" s="67"/>
      <c r="E128" s="67"/>
      <c r="F128" s="14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customHeight="1" x14ac:dyDescent="0.2">
      <c r="A129" s="36" t="s">
        <v>88</v>
      </c>
      <c r="B129" s="65" t="s">
        <v>32</v>
      </c>
      <c r="C129" s="67">
        <f>IFERROR(IF(C112&gt;=C111,C128,((((C128)-(E110-E113))*(((C111-C112)+1)/(2*(C111-C112))))+(E110-E113))),0)</f>
        <v>636021</v>
      </c>
      <c r="D129" s="67"/>
      <c r="E129" s="67"/>
      <c r="F129" s="14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customHeight="1" x14ac:dyDescent="0.2">
      <c r="A130" s="135" t="s">
        <v>89</v>
      </c>
      <c r="B130" s="136" t="s">
        <v>32</v>
      </c>
      <c r="C130" s="136"/>
      <c r="D130" s="137">
        <f>C127*C129/12/100</f>
        <v>6757.7231250000004</v>
      </c>
      <c r="E130" s="137">
        <f>D130</f>
        <v>6757.7231250000004</v>
      </c>
      <c r="F130" s="14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customHeight="1" x14ac:dyDescent="0.2">
      <c r="A131" s="138" t="s">
        <v>90</v>
      </c>
      <c r="B131" s="61" t="s">
        <v>45</v>
      </c>
      <c r="C131" s="61">
        <f t="shared" ref="C131:D131" si="6">C115</f>
        <v>1</v>
      </c>
      <c r="D131" s="63">
        <f t="shared" si="6"/>
        <v>0</v>
      </c>
      <c r="E131" s="63">
        <f>C131*D131</f>
        <v>0</v>
      </c>
      <c r="F131" s="141"/>
      <c r="G131" s="13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customHeight="1" x14ac:dyDescent="0.2">
      <c r="A132" s="36" t="s">
        <v>86</v>
      </c>
      <c r="B132" s="65" t="s">
        <v>6</v>
      </c>
      <c r="C132" s="65">
        <f>C127</f>
        <v>12.75</v>
      </c>
      <c r="D132" s="67"/>
      <c r="E132" s="67"/>
      <c r="F132" s="14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customHeight="1" x14ac:dyDescent="0.2">
      <c r="A133" s="36" t="s">
        <v>91</v>
      </c>
      <c r="B133" s="65" t="s">
        <v>32</v>
      </c>
      <c r="C133" s="67">
        <f>IFERROR(IF(C117&lt;=C116,E115-(C118/(100*C116)*C117)*E115,E115-E118),0)</f>
        <v>0</v>
      </c>
      <c r="D133" s="67"/>
      <c r="E133" s="67"/>
      <c r="F133" s="14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customHeight="1" x14ac:dyDescent="0.2">
      <c r="A134" s="36" t="s">
        <v>92</v>
      </c>
      <c r="B134" s="65" t="s">
        <v>32</v>
      </c>
      <c r="C134" s="67">
        <f>IFERROR(IF(C117&gt;=C116,C133,((((C133)-(E115-E118))*(((C116-C117)+1)/(2*(C116-C117))))+(E115-E118))),0)</f>
        <v>0</v>
      </c>
      <c r="D134" s="67"/>
      <c r="E134" s="67"/>
      <c r="F134" s="14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customHeight="1" x14ac:dyDescent="0.2">
      <c r="A135" s="71" t="s">
        <v>93</v>
      </c>
      <c r="B135" s="143" t="s">
        <v>32</v>
      </c>
      <c r="C135" s="143"/>
      <c r="D135" s="74">
        <f>C132*C134/12/100</f>
        <v>0</v>
      </c>
      <c r="E135" s="74">
        <f>D135</f>
        <v>0</v>
      </c>
      <c r="F135" s="14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customHeight="1" x14ac:dyDescent="0.2">
      <c r="A136" s="144" t="s">
        <v>81</v>
      </c>
      <c r="B136" s="72"/>
      <c r="C136" s="72"/>
      <c r="D136" s="73"/>
      <c r="E136" s="145">
        <f>E130+E135</f>
        <v>6757.7231250000004</v>
      </c>
      <c r="F136" s="14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customHeight="1" x14ac:dyDescent="0.2">
      <c r="A137" s="71" t="s">
        <v>94</v>
      </c>
      <c r="B137" s="143" t="s">
        <v>45</v>
      </c>
      <c r="C137" s="65">
        <f>C121</f>
        <v>1.1000000000000001</v>
      </c>
      <c r="D137" s="74">
        <f>E136</f>
        <v>6757.7231250000004</v>
      </c>
      <c r="E137" s="145">
        <f>C137*D137</f>
        <v>7433.4954375000007</v>
      </c>
      <c r="F137" s="15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customHeight="1" x14ac:dyDescent="0.2">
      <c r="A138" s="2"/>
      <c r="B138" s="2"/>
      <c r="C138" s="153"/>
      <c r="D138" s="79" t="s">
        <v>40</v>
      </c>
      <c r="E138" s="35">
        <f>$B$44</f>
        <v>1</v>
      </c>
      <c r="F138" s="130">
        <f>E137*E138</f>
        <v>7433.4954375000007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1.25" customHeight="1" x14ac:dyDescent="0.2">
      <c r="A139" s="2"/>
      <c r="B139" s="2"/>
      <c r="C139" s="2"/>
      <c r="D139" s="4"/>
      <c r="E139" s="4"/>
      <c r="F139" s="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customHeight="1" x14ac:dyDescent="0.2">
      <c r="A140" s="2" t="s">
        <v>95</v>
      </c>
      <c r="B140" s="2"/>
      <c r="C140" s="2"/>
      <c r="D140" s="4"/>
      <c r="E140" s="4"/>
      <c r="F140" s="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 x14ac:dyDescent="0.2">
      <c r="A141" s="55" t="s">
        <v>20</v>
      </c>
      <c r="B141" s="56" t="s">
        <v>21</v>
      </c>
      <c r="C141" s="56" t="s">
        <v>13</v>
      </c>
      <c r="D141" s="57" t="s">
        <v>22</v>
      </c>
      <c r="E141" s="57" t="s">
        <v>23</v>
      </c>
      <c r="F141" s="58" t="s">
        <v>96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customHeight="1" x14ac:dyDescent="0.2">
      <c r="A142" s="60" t="s">
        <v>97</v>
      </c>
      <c r="B142" s="61" t="s">
        <v>45</v>
      </c>
      <c r="C142" s="63">
        <f>C121</f>
        <v>1.1000000000000001</v>
      </c>
      <c r="D142" s="63">
        <f>D126*0.01</f>
        <v>9000</v>
      </c>
      <c r="E142" s="63">
        <f t="shared" ref="E142:E144" si="7">C142*D142</f>
        <v>9900</v>
      </c>
      <c r="F142" s="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customHeight="1" x14ac:dyDescent="0.2">
      <c r="A143" s="36" t="s">
        <v>98</v>
      </c>
      <c r="B143" s="65" t="s">
        <v>45</v>
      </c>
      <c r="C143" s="63">
        <f>C121</f>
        <v>1.1000000000000001</v>
      </c>
      <c r="D143" s="110">
        <v>119.55</v>
      </c>
      <c r="E143" s="67">
        <f t="shared" si="7"/>
        <v>131.505</v>
      </c>
      <c r="F143" s="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customHeight="1" x14ac:dyDescent="0.2">
      <c r="A144" s="36" t="s">
        <v>99</v>
      </c>
      <c r="B144" s="65" t="s">
        <v>45</v>
      </c>
      <c r="C144" s="63">
        <f>C121</f>
        <v>1.1000000000000001</v>
      </c>
      <c r="D144" s="110">
        <v>0</v>
      </c>
      <c r="E144" s="67">
        <f t="shared" si="7"/>
        <v>0</v>
      </c>
      <c r="F144" s="7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customHeight="1" x14ac:dyDescent="0.2">
      <c r="A145" s="71" t="s">
        <v>100</v>
      </c>
      <c r="B145" s="143" t="s">
        <v>26</v>
      </c>
      <c r="C145" s="143">
        <v>12</v>
      </c>
      <c r="D145" s="74">
        <f>SUM(E142:E144)</f>
        <v>10031.504999999999</v>
      </c>
      <c r="E145" s="74">
        <f>D145/C145</f>
        <v>835.9587499999999</v>
      </c>
      <c r="F145" s="12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customHeight="1" x14ac:dyDescent="0.2">
      <c r="A146" s="2"/>
      <c r="B146" s="2"/>
      <c r="C146" s="2"/>
      <c r="D146" s="79" t="s">
        <v>40</v>
      </c>
      <c r="E146" s="35">
        <f>$B$44</f>
        <v>1</v>
      </c>
      <c r="F146" s="80">
        <f>E145*E146</f>
        <v>835.9587499999999</v>
      </c>
      <c r="G146" s="15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1.25" customHeight="1" x14ac:dyDescent="0.2">
      <c r="A147" s="2"/>
      <c r="B147" s="2"/>
      <c r="C147" s="2"/>
      <c r="D147" s="147"/>
      <c r="E147" s="4"/>
      <c r="F147" s="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customHeight="1" x14ac:dyDescent="0.2">
      <c r="A148" s="2" t="s">
        <v>101</v>
      </c>
      <c r="B148" s="155"/>
      <c r="C148" s="2"/>
      <c r="D148" s="4"/>
      <c r="E148" s="4"/>
      <c r="F148" s="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customHeight="1" x14ac:dyDescent="0.2">
      <c r="A149" s="2"/>
      <c r="B149" s="155"/>
      <c r="C149" s="2"/>
      <c r="D149" s="4"/>
      <c r="E149" s="4"/>
      <c r="F149" s="4"/>
      <c r="G149" s="2"/>
      <c r="H149" s="156"/>
      <c r="I149" s="156"/>
      <c r="J149" s="156"/>
      <c r="K149" s="156"/>
      <c r="L149" s="156"/>
      <c r="M149" s="156"/>
      <c r="N149" s="156"/>
      <c r="O149" s="156"/>
      <c r="P149" s="2"/>
      <c r="Q149" s="156"/>
      <c r="R149" s="2"/>
      <c r="S149" s="2"/>
      <c r="T149" s="2"/>
    </row>
    <row r="150" spans="1:20" ht="12.75" customHeight="1" x14ac:dyDescent="0.2">
      <c r="A150" s="71" t="s">
        <v>102</v>
      </c>
      <c r="B150" s="157">
        <v>1700</v>
      </c>
      <c r="C150" s="158"/>
      <c r="D150" s="4"/>
      <c r="E150" s="4"/>
      <c r="F150" s="4"/>
      <c r="G150" s="13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customHeight="1" x14ac:dyDescent="0.2">
      <c r="A151" s="2"/>
      <c r="B151" s="155"/>
      <c r="C151" s="2"/>
      <c r="D151" s="4"/>
      <c r="E151" s="4"/>
      <c r="F151" s="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customHeight="1" x14ac:dyDescent="0.2">
      <c r="A152" s="55" t="s">
        <v>20</v>
      </c>
      <c r="B152" s="56" t="s">
        <v>21</v>
      </c>
      <c r="C152" s="56" t="s">
        <v>103</v>
      </c>
      <c r="D152" s="57" t="s">
        <v>22</v>
      </c>
      <c r="E152" s="57" t="s">
        <v>23</v>
      </c>
      <c r="F152" s="58" t="s">
        <v>104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customHeight="1" x14ac:dyDescent="0.2">
      <c r="A153" s="60" t="s">
        <v>105</v>
      </c>
      <c r="B153" s="61" t="s">
        <v>106</v>
      </c>
      <c r="C153" s="159">
        <v>1.5</v>
      </c>
      <c r="D153" s="160">
        <v>5.99</v>
      </c>
      <c r="E153" s="63"/>
      <c r="F153" s="4"/>
      <c r="G153" s="16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customHeight="1" x14ac:dyDescent="0.2">
      <c r="A154" s="36" t="s">
        <v>107</v>
      </c>
      <c r="B154" s="65" t="s">
        <v>108</v>
      </c>
      <c r="C154" s="162">
        <f>B150</f>
        <v>1700</v>
      </c>
      <c r="D154" s="163">
        <f>IFERROR(+D153/C153,"-")</f>
        <v>3.9933333333333336</v>
      </c>
      <c r="E154" s="67">
        <f>IFERROR(C154*D154,"-")</f>
        <v>6788.666666666667</v>
      </c>
      <c r="F154" s="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customHeight="1" x14ac:dyDescent="0.2">
      <c r="A155" s="60" t="s">
        <v>109</v>
      </c>
      <c r="B155" s="61" t="s">
        <v>106</v>
      </c>
      <c r="C155" s="159">
        <v>36</v>
      </c>
      <c r="D155" s="160">
        <v>3.72</v>
      </c>
      <c r="E155" s="63"/>
      <c r="F155" s="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customHeight="1" x14ac:dyDescent="0.2">
      <c r="A156" s="36" t="s">
        <v>110</v>
      </c>
      <c r="B156" s="65" t="s">
        <v>108</v>
      </c>
      <c r="C156" s="162">
        <f>B150</f>
        <v>1700</v>
      </c>
      <c r="D156" s="163">
        <f>IFERROR(+D155/C155,"-")</f>
        <v>0.10333333333333333</v>
      </c>
      <c r="E156" s="67">
        <f>IFERROR(C156*D156,"-")</f>
        <v>175.66666666666666</v>
      </c>
      <c r="F156" s="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customHeight="1" x14ac:dyDescent="0.2">
      <c r="A157" s="36" t="s">
        <v>111</v>
      </c>
      <c r="B157" s="65" t="s">
        <v>112</v>
      </c>
      <c r="C157" s="164">
        <v>5</v>
      </c>
      <c r="D157" s="110">
        <v>14.08</v>
      </c>
      <c r="E157" s="67"/>
      <c r="F157" s="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customHeight="1" x14ac:dyDescent="0.2">
      <c r="A158" s="36" t="s">
        <v>113</v>
      </c>
      <c r="B158" s="65" t="s">
        <v>108</v>
      </c>
      <c r="C158" s="162">
        <f>C154</f>
        <v>1700</v>
      </c>
      <c r="D158" s="165">
        <f>+C157*D157/1000</f>
        <v>7.0400000000000004E-2</v>
      </c>
      <c r="E158" s="67">
        <f>C158*D158</f>
        <v>119.68</v>
      </c>
      <c r="F158" s="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customHeight="1" x14ac:dyDescent="0.2">
      <c r="A159" s="36" t="s">
        <v>114</v>
      </c>
      <c r="B159" s="65" t="s">
        <v>112</v>
      </c>
      <c r="C159" s="164">
        <v>1</v>
      </c>
      <c r="D159" s="110">
        <v>11.07</v>
      </c>
      <c r="E159" s="67"/>
      <c r="F159" s="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customHeight="1" x14ac:dyDescent="0.2">
      <c r="A160" s="36" t="s">
        <v>115</v>
      </c>
      <c r="B160" s="65" t="s">
        <v>108</v>
      </c>
      <c r="C160" s="162">
        <f>C154</f>
        <v>1700</v>
      </c>
      <c r="D160" s="165">
        <f>+C159*D159/1000</f>
        <v>1.107E-2</v>
      </c>
      <c r="E160" s="67">
        <f>C160*D160</f>
        <v>18.818999999999999</v>
      </c>
      <c r="F160" s="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customHeight="1" x14ac:dyDescent="0.2">
      <c r="A161" s="36" t="s">
        <v>116</v>
      </c>
      <c r="B161" s="65" t="s">
        <v>112</v>
      </c>
      <c r="C161" s="164">
        <v>7</v>
      </c>
      <c r="D161" s="110">
        <v>15.27</v>
      </c>
      <c r="E161" s="67"/>
      <c r="F161" s="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customHeight="1" x14ac:dyDescent="0.2">
      <c r="A162" s="36" t="s">
        <v>117</v>
      </c>
      <c r="B162" s="65" t="s">
        <v>108</v>
      </c>
      <c r="C162" s="162">
        <f>C154</f>
        <v>1700</v>
      </c>
      <c r="D162" s="165">
        <f>+C161*D161/1000</f>
        <v>0.10689</v>
      </c>
      <c r="E162" s="67">
        <f>C162*D162</f>
        <v>181.71299999999999</v>
      </c>
      <c r="F162" s="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customHeight="1" x14ac:dyDescent="0.2">
      <c r="A163" s="36" t="s">
        <v>118</v>
      </c>
      <c r="B163" s="65" t="s">
        <v>119</v>
      </c>
      <c r="C163" s="164">
        <v>1</v>
      </c>
      <c r="D163" s="110">
        <v>13.41</v>
      </c>
      <c r="E163" s="67"/>
      <c r="F163" s="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customHeight="1" x14ac:dyDescent="0.2">
      <c r="A164" s="36" t="s">
        <v>120</v>
      </c>
      <c r="B164" s="65" t="s">
        <v>108</v>
      </c>
      <c r="C164" s="162">
        <f>C154</f>
        <v>1700</v>
      </c>
      <c r="D164" s="165">
        <f>+C163*D163/1000</f>
        <v>1.341E-2</v>
      </c>
      <c r="E164" s="67">
        <f>C164*D164</f>
        <v>22.797000000000001</v>
      </c>
      <c r="F164" s="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customHeight="1" x14ac:dyDescent="0.2">
      <c r="A165" s="71" t="s">
        <v>121</v>
      </c>
      <c r="B165" s="143" t="s">
        <v>122</v>
      </c>
      <c r="C165" s="166"/>
      <c r="D165" s="167">
        <f>IFERROR(D154+D158+D160+D162+D164,0)</f>
        <v>4.1951033333333339</v>
      </c>
      <c r="E165" s="67"/>
      <c r="F165" s="12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customHeight="1" x14ac:dyDescent="0.2">
      <c r="A166" s="2"/>
      <c r="B166" s="2"/>
      <c r="C166" s="2"/>
      <c r="D166" s="4">
        <v>43.48</v>
      </c>
      <c r="E166" s="4"/>
      <c r="F166" s="130">
        <f>SUM(E153:E164)</f>
        <v>7307.342333333334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1.25" customHeight="1" x14ac:dyDescent="0.2">
      <c r="A167" s="2"/>
      <c r="B167" s="2"/>
      <c r="C167" s="2"/>
      <c r="D167" s="4"/>
      <c r="E167" s="4"/>
      <c r="F167" s="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customHeight="1" x14ac:dyDescent="0.2">
      <c r="A168" s="2" t="s">
        <v>123</v>
      </c>
      <c r="B168" s="2"/>
      <c r="C168" s="2"/>
      <c r="D168" s="4"/>
      <c r="E168" s="4"/>
      <c r="F168" s="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customHeight="1" x14ac:dyDescent="0.2">
      <c r="A169" s="55" t="s">
        <v>20</v>
      </c>
      <c r="B169" s="56" t="s">
        <v>21</v>
      </c>
      <c r="C169" s="56" t="s">
        <v>13</v>
      </c>
      <c r="D169" s="57" t="s">
        <v>22</v>
      </c>
      <c r="E169" s="57" t="s">
        <v>23</v>
      </c>
      <c r="F169" s="58" t="s">
        <v>124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customHeight="1" x14ac:dyDescent="0.2">
      <c r="A170" s="60" t="s">
        <v>125</v>
      </c>
      <c r="B170" s="61" t="s">
        <v>122</v>
      </c>
      <c r="C170" s="162">
        <f>C154</f>
        <v>1700</v>
      </c>
      <c r="D170" s="64">
        <v>1.41</v>
      </c>
      <c r="E170" s="63">
        <f>C170*D170</f>
        <v>2397</v>
      </c>
      <c r="F170" s="125"/>
      <c r="G170" s="16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customHeight="1" x14ac:dyDescent="0.2">
      <c r="A171" s="2"/>
      <c r="B171" s="2"/>
      <c r="C171" s="2"/>
      <c r="D171" s="4"/>
      <c r="E171" s="4">
        <v>1069.2</v>
      </c>
      <c r="F171" s="130">
        <f>E170</f>
        <v>2397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1.25" customHeight="1" x14ac:dyDescent="0.2">
      <c r="A172" s="2"/>
      <c r="B172" s="2"/>
      <c r="C172" s="2"/>
      <c r="D172" s="4"/>
      <c r="E172" s="4"/>
      <c r="F172" s="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customHeight="1" x14ac:dyDescent="0.2">
      <c r="A173" s="2" t="s">
        <v>126</v>
      </c>
      <c r="B173" s="2"/>
      <c r="C173" s="2"/>
      <c r="D173" s="4"/>
      <c r="E173" s="4"/>
      <c r="F173" s="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customHeight="1" x14ac:dyDescent="0.2">
      <c r="A174" s="55" t="s">
        <v>20</v>
      </c>
      <c r="B174" s="56" t="s">
        <v>21</v>
      </c>
      <c r="C174" s="56" t="s">
        <v>13</v>
      </c>
      <c r="D174" s="57" t="s">
        <v>22</v>
      </c>
      <c r="E174" s="57" t="s">
        <v>23</v>
      </c>
      <c r="F174" s="58" t="s">
        <v>127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customHeight="1" x14ac:dyDescent="0.2">
      <c r="A175" s="168" t="s">
        <v>128</v>
      </c>
      <c r="B175" s="61" t="s">
        <v>45</v>
      </c>
      <c r="C175" s="169">
        <v>10</v>
      </c>
      <c r="D175" s="64">
        <v>3550</v>
      </c>
      <c r="E175" s="63">
        <f>C175*D175</f>
        <v>35500</v>
      </c>
      <c r="F175" s="4"/>
      <c r="G175" s="13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customHeight="1" x14ac:dyDescent="0.2">
      <c r="A176" s="60" t="s">
        <v>129</v>
      </c>
      <c r="B176" s="61" t="s">
        <v>45</v>
      </c>
      <c r="C176" s="169">
        <v>1</v>
      </c>
      <c r="D176" s="63"/>
      <c r="E176" s="63"/>
      <c r="F176" s="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customHeight="1" x14ac:dyDescent="0.2">
      <c r="A177" s="60" t="s">
        <v>130</v>
      </c>
      <c r="B177" s="61" t="s">
        <v>45</v>
      </c>
      <c r="C177" s="63">
        <f>C175*C176</f>
        <v>10</v>
      </c>
      <c r="D177" s="64">
        <v>597.75</v>
      </c>
      <c r="E177" s="63">
        <f>C177*D177</f>
        <v>5977.5</v>
      </c>
      <c r="F177" s="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customHeight="1" x14ac:dyDescent="0.2">
      <c r="A178" s="36" t="s">
        <v>131</v>
      </c>
      <c r="B178" s="65" t="s">
        <v>132</v>
      </c>
      <c r="C178" s="170">
        <v>100000</v>
      </c>
      <c r="D178" s="67">
        <f>E175+E177</f>
        <v>41477.5</v>
      </c>
      <c r="E178" s="67">
        <f>IFERROR(D178/C178,"-")</f>
        <v>0.414775</v>
      </c>
      <c r="F178" s="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customHeight="1" x14ac:dyDescent="0.2">
      <c r="A179" s="36" t="s">
        <v>133</v>
      </c>
      <c r="B179" s="65" t="s">
        <v>108</v>
      </c>
      <c r="C179" s="162">
        <f>B150</f>
        <v>1700</v>
      </c>
      <c r="D179" s="67">
        <f>E178</f>
        <v>0.414775</v>
      </c>
      <c r="E179" s="67">
        <f>IFERROR(C179*D179,0)</f>
        <v>705.11750000000006</v>
      </c>
      <c r="F179" s="12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customHeight="1" x14ac:dyDescent="0.2">
      <c r="A180" s="2"/>
      <c r="B180" s="2"/>
      <c r="C180" s="147"/>
      <c r="D180" s="4"/>
      <c r="E180" s="4"/>
      <c r="F180" s="130">
        <f>E179</f>
        <v>705.11750000000006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customHeight="1" x14ac:dyDescent="0.2">
      <c r="A181" s="2" t="s">
        <v>134</v>
      </c>
      <c r="B181" s="2"/>
      <c r="C181" s="2"/>
      <c r="D181" s="4"/>
      <c r="E181" s="4"/>
      <c r="F181" s="17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" customHeight="1" x14ac:dyDescent="0.2">
      <c r="A182" s="172" t="s">
        <v>20</v>
      </c>
      <c r="B182" s="173" t="s">
        <v>21</v>
      </c>
      <c r="C182" s="173" t="s">
        <v>13</v>
      </c>
      <c r="D182" s="174" t="s">
        <v>22</v>
      </c>
      <c r="E182" s="174" t="s">
        <v>23</v>
      </c>
      <c r="F182" s="175" t="s">
        <v>135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" customHeight="1" x14ac:dyDescent="0.2">
      <c r="A183" s="176" t="s">
        <v>136</v>
      </c>
      <c r="B183" s="65" t="s">
        <v>45</v>
      </c>
      <c r="C183" s="177">
        <v>0</v>
      </c>
      <c r="D183" s="178">
        <v>64.400000000000006</v>
      </c>
      <c r="E183" s="178">
        <f>C183*D183</f>
        <v>0</v>
      </c>
      <c r="F183" s="17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" customHeight="1" x14ac:dyDescent="0.2">
      <c r="A184" s="180"/>
      <c r="B184" s="153"/>
      <c r="C184" s="181"/>
      <c r="D184" s="171"/>
      <c r="E184" s="171"/>
      <c r="F184" s="182">
        <f>E183</f>
        <v>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1.25" customHeight="1" x14ac:dyDescent="0.2">
      <c r="A185" s="156" t="s">
        <v>137</v>
      </c>
      <c r="B185" s="2"/>
      <c r="C185" s="2"/>
      <c r="D185" s="4"/>
      <c r="E185" s="4"/>
      <c r="F185" s="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1.25" customHeight="1" x14ac:dyDescent="0.2">
      <c r="A186" s="2"/>
      <c r="B186" s="2"/>
      <c r="C186" s="2"/>
      <c r="D186" s="4"/>
      <c r="E186" s="4"/>
      <c r="F186" s="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1.25" customHeight="1" x14ac:dyDescent="0.2">
      <c r="A187" s="131" t="s">
        <v>9</v>
      </c>
      <c r="B187" s="2"/>
      <c r="C187" s="2"/>
      <c r="D187" s="4"/>
      <c r="E187" s="4"/>
      <c r="F187" s="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1.25" customHeight="1" x14ac:dyDescent="0.2">
      <c r="A188" s="55" t="s">
        <v>20</v>
      </c>
      <c r="B188" s="56" t="s">
        <v>21</v>
      </c>
      <c r="C188" s="56" t="s">
        <v>13</v>
      </c>
      <c r="D188" s="57" t="s">
        <v>22</v>
      </c>
      <c r="E188" s="57" t="s">
        <v>23</v>
      </c>
      <c r="F188" s="58" t="s">
        <v>138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1.25" customHeight="1" x14ac:dyDescent="0.2">
      <c r="A189" s="60" t="s">
        <v>70</v>
      </c>
      <c r="B189" s="61" t="s">
        <v>45</v>
      </c>
      <c r="C189" s="61">
        <v>1</v>
      </c>
      <c r="D189" s="133">
        <v>440000</v>
      </c>
      <c r="E189" s="134">
        <f>C189*D189</f>
        <v>440000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1.25" customHeight="1" x14ac:dyDescent="0.2">
      <c r="A190" s="36" t="s">
        <v>71</v>
      </c>
      <c r="B190" s="65" t="s">
        <v>72</v>
      </c>
      <c r="C190" s="70">
        <v>10</v>
      </c>
      <c r="D190" s="67"/>
      <c r="E190" s="6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1.25" customHeight="1" x14ac:dyDescent="0.2">
      <c r="A191" s="36" t="s">
        <v>73</v>
      </c>
      <c r="B191" s="65" t="s">
        <v>72</v>
      </c>
      <c r="C191" s="70">
        <v>0</v>
      </c>
      <c r="D191" s="67"/>
      <c r="E191" s="6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1.25" customHeight="1" x14ac:dyDescent="0.2">
      <c r="A192" s="36" t="s">
        <v>74</v>
      </c>
      <c r="B192" s="65" t="s">
        <v>6</v>
      </c>
      <c r="C192" s="76">
        <f>IFERROR(VLOOKUP(C190,'5. Depreciação'!A83:B97,2,FALSE),0)</f>
        <v>0</v>
      </c>
      <c r="D192" s="67">
        <f>E189</f>
        <v>440000</v>
      </c>
      <c r="E192" s="67">
        <f>C192*D192/100</f>
        <v>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1.25" customHeight="1" x14ac:dyDescent="0.2">
      <c r="A193" s="135" t="s">
        <v>75</v>
      </c>
      <c r="B193" s="136" t="s">
        <v>26</v>
      </c>
      <c r="C193" s="136">
        <v>60</v>
      </c>
      <c r="D193" s="137">
        <f>IF(C191&lt;=C190,E192,0)</f>
        <v>0</v>
      </c>
      <c r="E193" s="137">
        <f>IFERROR(D193/C193,0)</f>
        <v>0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1.25" customHeight="1" x14ac:dyDescent="0.2">
      <c r="A194" s="138" t="s">
        <v>139</v>
      </c>
      <c r="B194" s="61" t="s">
        <v>45</v>
      </c>
      <c r="C194" s="61">
        <v>1</v>
      </c>
      <c r="D194" s="62">
        <v>0</v>
      </c>
      <c r="E194" s="63">
        <f>C194*D194</f>
        <v>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1.25" customHeight="1" x14ac:dyDescent="0.2">
      <c r="A195" s="36" t="s">
        <v>140</v>
      </c>
      <c r="B195" s="65" t="s">
        <v>72</v>
      </c>
      <c r="C195" s="151">
        <v>0</v>
      </c>
      <c r="D195" s="67">
        <v>1</v>
      </c>
      <c r="E195" s="67"/>
      <c r="F195" s="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1.25" customHeight="1" x14ac:dyDescent="0.2">
      <c r="A196" s="36" t="s">
        <v>141</v>
      </c>
      <c r="B196" s="65" t="s">
        <v>72</v>
      </c>
      <c r="C196" s="151">
        <v>0</v>
      </c>
      <c r="D196" s="67"/>
      <c r="E196" s="67"/>
      <c r="F196" s="14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1.25" customHeight="1" x14ac:dyDescent="0.2">
      <c r="A197" s="36" t="s">
        <v>142</v>
      </c>
      <c r="B197" s="65" t="s">
        <v>6</v>
      </c>
      <c r="C197" s="142">
        <f>IFERROR(VLOOKUP(C195,'5. Depreciação'!A83:B97,2,FALSE),0)</f>
        <v>0</v>
      </c>
      <c r="D197" s="67">
        <f>E194</f>
        <v>0</v>
      </c>
      <c r="E197" s="67">
        <f>C197*D197/100</f>
        <v>0</v>
      </c>
      <c r="F197" s="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1.25" customHeight="1" x14ac:dyDescent="0.2">
      <c r="A198" s="71" t="s">
        <v>80</v>
      </c>
      <c r="B198" s="143" t="s">
        <v>26</v>
      </c>
      <c r="C198" s="143">
        <v>60</v>
      </c>
      <c r="D198" s="74">
        <f>IF(C196&lt;=C195,E197,0)</f>
        <v>0</v>
      </c>
      <c r="E198" s="74">
        <f>IFERROR(D198/C198,0)</f>
        <v>0</v>
      </c>
      <c r="F198" s="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1.25" customHeight="1" x14ac:dyDescent="0.2">
      <c r="A199" s="144" t="s">
        <v>81</v>
      </c>
      <c r="B199" s="72"/>
      <c r="C199" s="72"/>
      <c r="D199" s="73"/>
      <c r="E199" s="145">
        <f>E193+E198</f>
        <v>0</v>
      </c>
      <c r="F199" s="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1.25" customHeight="1" x14ac:dyDescent="0.2">
      <c r="A200" s="71" t="s">
        <v>82</v>
      </c>
      <c r="B200" s="143" t="s">
        <v>45</v>
      </c>
      <c r="C200" s="70">
        <v>1.1000000000000001</v>
      </c>
      <c r="D200" s="74">
        <f>E199</f>
        <v>0</v>
      </c>
      <c r="E200" s="145">
        <f>C200*D200</f>
        <v>0</v>
      </c>
      <c r="F200" s="12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1.25" customHeight="1" x14ac:dyDescent="0.2">
      <c r="A201" s="146"/>
      <c r="B201" s="146"/>
      <c r="C201" s="146"/>
      <c r="D201" s="79" t="s">
        <v>40</v>
      </c>
      <c r="E201" s="35">
        <f>$B$44</f>
        <v>1</v>
      </c>
      <c r="F201" s="130">
        <f>E200*E201</f>
        <v>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1.25" customHeight="1" x14ac:dyDescent="0.2">
      <c r="A202" s="2"/>
      <c r="B202" s="2"/>
      <c r="C202" s="2"/>
      <c r="D202" s="147"/>
      <c r="E202" s="4"/>
      <c r="F202" s="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1.25" customHeight="1" x14ac:dyDescent="0.2">
      <c r="A203" s="131" t="s">
        <v>143</v>
      </c>
      <c r="B203" s="2"/>
      <c r="C203" s="2"/>
      <c r="D203" s="4"/>
      <c r="E203" s="4"/>
      <c r="F203" s="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1.25" customHeight="1" x14ac:dyDescent="0.2">
      <c r="A204" s="148" t="s">
        <v>20</v>
      </c>
      <c r="B204" s="149" t="s">
        <v>21</v>
      </c>
      <c r="C204" s="149" t="s">
        <v>13</v>
      </c>
      <c r="D204" s="57" t="s">
        <v>22</v>
      </c>
      <c r="E204" s="150" t="s">
        <v>23</v>
      </c>
      <c r="F204" s="58" t="s">
        <v>144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1.25" customHeight="1" x14ac:dyDescent="0.2">
      <c r="A205" s="36" t="s">
        <v>85</v>
      </c>
      <c r="B205" s="65" t="s">
        <v>45</v>
      </c>
      <c r="C205" s="61">
        <v>1</v>
      </c>
      <c r="D205" s="67">
        <f>D189</f>
        <v>440000</v>
      </c>
      <c r="E205" s="65">
        <f>C205*D205</f>
        <v>440000</v>
      </c>
      <c r="F205" s="14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1.25" customHeight="1" x14ac:dyDescent="0.2">
      <c r="A206" s="36" t="s">
        <v>86</v>
      </c>
      <c r="B206" s="65" t="s">
        <v>6</v>
      </c>
      <c r="C206" s="151">
        <v>12.75</v>
      </c>
      <c r="D206" s="67"/>
      <c r="E206" s="67"/>
      <c r="F206" s="14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1.25" customHeight="1" x14ac:dyDescent="0.2">
      <c r="A207" s="36" t="s">
        <v>87</v>
      </c>
      <c r="B207" s="65" t="s">
        <v>32</v>
      </c>
      <c r="C207" s="67">
        <f>IFERROR(IF(C191&lt;=C190,E189-(C192/(100*C190)*C191)*E189,E189-E192),0)</f>
        <v>440000</v>
      </c>
      <c r="D207" s="67"/>
      <c r="E207" s="67"/>
      <c r="F207" s="14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1.25" customHeight="1" x14ac:dyDescent="0.2">
      <c r="A208" s="36" t="s">
        <v>88</v>
      </c>
      <c r="B208" s="65" t="s">
        <v>32</v>
      </c>
      <c r="C208" s="67">
        <f>IFERROR(IF(C191&gt;=C190,C207,((((C207)-(E189-E192))*(((C190-C191)+1)/(2*(C190-C191))))+(E189-E192))),0)</f>
        <v>440000</v>
      </c>
      <c r="D208" s="67"/>
      <c r="E208" s="67"/>
      <c r="F208" s="14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1.25" customHeight="1" x14ac:dyDescent="0.2">
      <c r="A209" s="135" t="s">
        <v>89</v>
      </c>
      <c r="B209" s="136" t="s">
        <v>32</v>
      </c>
      <c r="C209" s="136"/>
      <c r="D209" s="137">
        <f>C206*C208/12/100</f>
        <v>4675</v>
      </c>
      <c r="E209" s="137">
        <f>D209</f>
        <v>4675</v>
      </c>
      <c r="F209" s="14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1.25" customHeight="1" x14ac:dyDescent="0.2">
      <c r="A210" s="138" t="s">
        <v>90</v>
      </c>
      <c r="B210" s="61" t="s">
        <v>45</v>
      </c>
      <c r="C210" s="61">
        <f t="shared" ref="C210:D210" si="8">C194</f>
        <v>1</v>
      </c>
      <c r="D210" s="63">
        <f t="shared" si="8"/>
        <v>0</v>
      </c>
      <c r="E210" s="63">
        <f>C210*D210</f>
        <v>0</v>
      </c>
      <c r="F210" s="14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1.25" customHeight="1" x14ac:dyDescent="0.2">
      <c r="A211" s="36" t="s">
        <v>86</v>
      </c>
      <c r="B211" s="65" t="s">
        <v>6</v>
      </c>
      <c r="C211" s="65">
        <f>C206</f>
        <v>12.75</v>
      </c>
      <c r="D211" s="67"/>
      <c r="E211" s="67"/>
      <c r="F211" s="14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1.25" customHeight="1" x14ac:dyDescent="0.2">
      <c r="A212" s="36" t="s">
        <v>91</v>
      </c>
      <c r="B212" s="65" t="s">
        <v>32</v>
      </c>
      <c r="C212" s="67">
        <f>IFERROR(IF(C196&lt;=C195,E194-(C197/(100*C195)*C196)*E194,E194-E197),0)</f>
        <v>0</v>
      </c>
      <c r="D212" s="67"/>
      <c r="E212" s="67"/>
      <c r="F212" s="14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1.25" customHeight="1" x14ac:dyDescent="0.2">
      <c r="A213" s="36" t="s">
        <v>92</v>
      </c>
      <c r="B213" s="65" t="s">
        <v>32</v>
      </c>
      <c r="C213" s="67">
        <f>IFERROR(IF(C196&gt;=C195,C212,((((C212)-(E194-E197))*(((C195-C196)+1)/(2*(C195-C196))))+(E194-E197))),0)</f>
        <v>0</v>
      </c>
      <c r="D213" s="67"/>
      <c r="E213" s="67"/>
      <c r="F213" s="14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1.25" customHeight="1" x14ac:dyDescent="0.2">
      <c r="A214" s="71" t="s">
        <v>93</v>
      </c>
      <c r="B214" s="143" t="s">
        <v>32</v>
      </c>
      <c r="C214" s="143"/>
      <c r="D214" s="74">
        <f>C211*C213/12/100</f>
        <v>0</v>
      </c>
      <c r="E214" s="74">
        <f>D214</f>
        <v>0</v>
      </c>
      <c r="F214" s="14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1.25" customHeight="1" x14ac:dyDescent="0.2">
      <c r="A215" s="144" t="s">
        <v>81</v>
      </c>
      <c r="B215" s="72"/>
      <c r="C215" s="72"/>
      <c r="D215" s="73"/>
      <c r="E215" s="145">
        <f>E209+E214</f>
        <v>4675</v>
      </c>
      <c r="F215" s="14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1.25" customHeight="1" x14ac:dyDescent="0.2">
      <c r="A216" s="71" t="s">
        <v>94</v>
      </c>
      <c r="B216" s="143" t="s">
        <v>45</v>
      </c>
      <c r="C216" s="65">
        <f>C200</f>
        <v>1.1000000000000001</v>
      </c>
      <c r="D216" s="74">
        <f>E215</f>
        <v>4675</v>
      </c>
      <c r="E216" s="145">
        <f>C216*D216</f>
        <v>5142.5</v>
      </c>
      <c r="F216" s="15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1.25" customHeight="1" x14ac:dyDescent="0.2">
      <c r="A217" s="2"/>
      <c r="B217" s="2"/>
      <c r="C217" s="153"/>
      <c r="D217" s="79" t="s">
        <v>40</v>
      </c>
      <c r="E217" s="35">
        <f>$B$44</f>
        <v>1</v>
      </c>
      <c r="F217" s="130">
        <f>E216*E217</f>
        <v>5142.5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1.25" customHeight="1" x14ac:dyDescent="0.2">
      <c r="A218" s="2"/>
      <c r="B218" s="2"/>
      <c r="C218" s="2"/>
      <c r="D218" s="4"/>
      <c r="E218" s="4"/>
      <c r="F218" s="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1.25" customHeight="1" x14ac:dyDescent="0.2">
      <c r="A219" s="156" t="s">
        <v>145</v>
      </c>
      <c r="B219" s="2"/>
      <c r="C219" s="2"/>
      <c r="D219" s="4"/>
      <c r="E219" s="4"/>
      <c r="F219" s="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1.25" customHeight="1" x14ac:dyDescent="0.2">
      <c r="A220" s="55" t="s">
        <v>20</v>
      </c>
      <c r="B220" s="56" t="s">
        <v>21</v>
      </c>
      <c r="C220" s="56" t="s">
        <v>13</v>
      </c>
      <c r="D220" s="57" t="s">
        <v>22</v>
      </c>
      <c r="E220" s="57" t="s">
        <v>23</v>
      </c>
      <c r="F220" s="58" t="s">
        <v>146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1.25" customHeight="1" x14ac:dyDescent="0.2">
      <c r="A221" s="60" t="s">
        <v>97</v>
      </c>
      <c r="B221" s="61" t="s">
        <v>45</v>
      </c>
      <c r="C221" s="63">
        <f>C200</f>
        <v>1.1000000000000001</v>
      </c>
      <c r="D221" s="63">
        <f>D205*0.01</f>
        <v>4400</v>
      </c>
      <c r="E221" s="63">
        <f t="shared" ref="E221:E223" si="9">C221*D221</f>
        <v>4840</v>
      </c>
      <c r="F221" s="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1.25" customHeight="1" x14ac:dyDescent="0.2">
      <c r="A222" s="36" t="s">
        <v>98</v>
      </c>
      <c r="B222" s="65" t="s">
        <v>45</v>
      </c>
      <c r="C222" s="63">
        <f>C200</f>
        <v>1.1000000000000001</v>
      </c>
      <c r="D222" s="110">
        <v>119.55</v>
      </c>
      <c r="E222" s="67">
        <f t="shared" si="9"/>
        <v>131.505</v>
      </c>
      <c r="F222" s="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1.25" customHeight="1" x14ac:dyDescent="0.2">
      <c r="A223" s="36" t="s">
        <v>99</v>
      </c>
      <c r="B223" s="65" t="s">
        <v>45</v>
      </c>
      <c r="C223" s="63">
        <f>C200</f>
        <v>1.1000000000000001</v>
      </c>
      <c r="D223" s="110">
        <v>0</v>
      </c>
      <c r="E223" s="67">
        <f t="shared" si="9"/>
        <v>0</v>
      </c>
      <c r="F223" s="7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1.25" customHeight="1" x14ac:dyDescent="0.2">
      <c r="A224" s="71" t="s">
        <v>100</v>
      </c>
      <c r="B224" s="143" t="s">
        <v>26</v>
      </c>
      <c r="C224" s="143">
        <v>12</v>
      </c>
      <c r="D224" s="74">
        <f>SUM(E221:E223)</f>
        <v>4971.5050000000001</v>
      </c>
      <c r="E224" s="74">
        <f>D224/C224</f>
        <v>414.29208333333332</v>
      </c>
      <c r="F224" s="12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1.25" customHeight="1" x14ac:dyDescent="0.2">
      <c r="A225" s="2"/>
      <c r="B225" s="2"/>
      <c r="C225" s="2"/>
      <c r="D225" s="79" t="s">
        <v>40</v>
      </c>
      <c r="E225" s="35">
        <f>$B$44</f>
        <v>1</v>
      </c>
      <c r="F225" s="80">
        <f>E224*E225</f>
        <v>414.29208333333332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1.25" customHeight="1" x14ac:dyDescent="0.2">
      <c r="A226" s="2"/>
      <c r="B226" s="2"/>
      <c r="C226" s="2"/>
      <c r="D226" s="147"/>
      <c r="E226" s="4"/>
      <c r="F226" s="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1.25" customHeight="1" x14ac:dyDescent="0.2">
      <c r="A227" s="156" t="s">
        <v>147</v>
      </c>
      <c r="B227" s="155"/>
      <c r="C227" s="2"/>
      <c r="D227" s="4"/>
      <c r="E227" s="4"/>
      <c r="F227" s="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1.25" customHeight="1" x14ac:dyDescent="0.2">
      <c r="A228" s="2"/>
      <c r="B228" s="155"/>
      <c r="C228" s="2"/>
      <c r="D228" s="4"/>
      <c r="E228" s="4"/>
      <c r="F228" s="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1.25" customHeight="1" x14ac:dyDescent="0.2">
      <c r="A229" s="183" t="s">
        <v>148</v>
      </c>
      <c r="B229" s="157">
        <v>16</v>
      </c>
      <c r="C229" s="184"/>
      <c r="D229" s="4"/>
      <c r="E229" s="4"/>
      <c r="F229" s="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1.25" customHeight="1" x14ac:dyDescent="0.2">
      <c r="A230" s="2"/>
      <c r="B230" s="155"/>
      <c r="C230" s="2"/>
      <c r="D230" s="4"/>
      <c r="E230" s="4"/>
      <c r="F230" s="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1.25" customHeight="1" x14ac:dyDescent="0.2">
      <c r="A231" s="55" t="s">
        <v>20</v>
      </c>
      <c r="B231" s="56" t="s">
        <v>21</v>
      </c>
      <c r="C231" s="56" t="s">
        <v>103</v>
      </c>
      <c r="D231" s="57" t="s">
        <v>22</v>
      </c>
      <c r="E231" s="57" t="s">
        <v>23</v>
      </c>
      <c r="F231" s="58" t="s">
        <v>149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1.25" customHeight="1" x14ac:dyDescent="0.2">
      <c r="A232" s="60" t="s">
        <v>105</v>
      </c>
      <c r="B232" s="185" t="s">
        <v>150</v>
      </c>
      <c r="C232" s="186">
        <v>5</v>
      </c>
      <c r="D232" s="187">
        <v>5.99</v>
      </c>
      <c r="E232" s="63"/>
      <c r="F232" s="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1.25" customHeight="1" x14ac:dyDescent="0.2">
      <c r="A233" s="36" t="s">
        <v>107</v>
      </c>
      <c r="B233" s="188" t="s">
        <v>151</v>
      </c>
      <c r="C233" s="162">
        <f>B229</f>
        <v>16</v>
      </c>
      <c r="D233" s="163">
        <f>IFERROR(+D232/C232,"-")</f>
        <v>1.198</v>
      </c>
      <c r="E233" s="67">
        <f>IFERROR(C233*D233,"-")</f>
        <v>19.167999999999999</v>
      </c>
      <c r="F233" s="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1.25" customHeight="1" x14ac:dyDescent="0.2">
      <c r="A234" s="60" t="s">
        <v>109</v>
      </c>
      <c r="B234" s="185" t="s">
        <v>150</v>
      </c>
      <c r="C234" s="159">
        <v>36</v>
      </c>
      <c r="D234" s="160">
        <v>3.72</v>
      </c>
      <c r="E234" s="63"/>
      <c r="F234" s="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1.25" customHeight="1" x14ac:dyDescent="0.2">
      <c r="A235" s="36" t="s">
        <v>110</v>
      </c>
      <c r="B235" s="188" t="s">
        <v>151</v>
      </c>
      <c r="C235" s="162">
        <f>B229</f>
        <v>16</v>
      </c>
      <c r="D235" s="163">
        <f>IFERROR(+D234/C234,"-")</f>
        <v>0.10333333333333333</v>
      </c>
      <c r="E235" s="67">
        <f>IFERROR(C235*D235,"-")</f>
        <v>1.6533333333333333</v>
      </c>
      <c r="F235" s="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1.25" customHeight="1" x14ac:dyDescent="0.2">
      <c r="A236" s="36" t="s">
        <v>111</v>
      </c>
      <c r="B236" s="188" t="s">
        <v>152</v>
      </c>
      <c r="C236" s="164">
        <v>5</v>
      </c>
      <c r="D236" s="110">
        <v>14.08</v>
      </c>
      <c r="E236" s="67"/>
      <c r="F236" s="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1.25" customHeight="1" x14ac:dyDescent="0.2">
      <c r="A237" s="36" t="s">
        <v>113</v>
      </c>
      <c r="B237" s="188" t="s">
        <v>151</v>
      </c>
      <c r="C237" s="162">
        <f>C233</f>
        <v>16</v>
      </c>
      <c r="D237" s="165">
        <f>+C236*D236/1000</f>
        <v>7.0400000000000004E-2</v>
      </c>
      <c r="E237" s="67">
        <f>C237*D237</f>
        <v>1.1264000000000001</v>
      </c>
      <c r="F237" s="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1.25" customHeight="1" x14ac:dyDescent="0.2">
      <c r="A238" s="36" t="s">
        <v>114</v>
      </c>
      <c r="B238" s="188" t="s">
        <v>152</v>
      </c>
      <c r="C238" s="164">
        <v>1</v>
      </c>
      <c r="D238" s="110">
        <v>11.07</v>
      </c>
      <c r="E238" s="67"/>
      <c r="F238" s="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1.25" customHeight="1" x14ac:dyDescent="0.2">
      <c r="A239" s="36" t="s">
        <v>115</v>
      </c>
      <c r="B239" s="188" t="s">
        <v>151</v>
      </c>
      <c r="C239" s="162">
        <f>C233</f>
        <v>16</v>
      </c>
      <c r="D239" s="165">
        <f>+C238*D238/1000</f>
        <v>1.107E-2</v>
      </c>
      <c r="E239" s="67">
        <f>C239*D239</f>
        <v>0.17712</v>
      </c>
      <c r="F239" s="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1.25" customHeight="1" x14ac:dyDescent="0.2">
      <c r="A240" s="36" t="s">
        <v>116</v>
      </c>
      <c r="B240" s="188" t="s">
        <v>152</v>
      </c>
      <c r="C240" s="164">
        <v>7</v>
      </c>
      <c r="D240" s="110">
        <v>15.27</v>
      </c>
      <c r="E240" s="67"/>
      <c r="F240" s="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1.25" customHeight="1" x14ac:dyDescent="0.2">
      <c r="A241" s="36" t="s">
        <v>117</v>
      </c>
      <c r="B241" s="188" t="s">
        <v>151</v>
      </c>
      <c r="C241" s="162">
        <f>C233</f>
        <v>16</v>
      </c>
      <c r="D241" s="165">
        <f>+C240*D240/1000</f>
        <v>0.10689</v>
      </c>
      <c r="E241" s="67">
        <f>C241*D241</f>
        <v>1.71024</v>
      </c>
      <c r="F241" s="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1.25" customHeight="1" x14ac:dyDescent="0.2">
      <c r="A242" s="36" t="s">
        <v>118</v>
      </c>
      <c r="B242" s="188" t="s">
        <v>153</v>
      </c>
      <c r="C242" s="164">
        <v>1</v>
      </c>
      <c r="D242" s="110">
        <v>13.41</v>
      </c>
      <c r="E242" s="67"/>
      <c r="F242" s="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1.25" customHeight="1" x14ac:dyDescent="0.2">
      <c r="A243" s="36" t="s">
        <v>120</v>
      </c>
      <c r="B243" s="188" t="s">
        <v>151</v>
      </c>
      <c r="C243" s="162">
        <f>C233</f>
        <v>16</v>
      </c>
      <c r="D243" s="165">
        <f>+C242*D242/1000</f>
        <v>1.341E-2</v>
      </c>
      <c r="E243" s="67">
        <f>C243*D243</f>
        <v>0.21456</v>
      </c>
      <c r="F243" s="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1.25" customHeight="1" x14ac:dyDescent="0.2">
      <c r="A244" s="71" t="s">
        <v>121</v>
      </c>
      <c r="B244" s="189" t="s">
        <v>154</v>
      </c>
      <c r="C244" s="166"/>
      <c r="D244" s="167">
        <f>IFERROR(D233+D237+D239+D241+D243,0)</f>
        <v>1.3997699999999997</v>
      </c>
      <c r="E244" s="67"/>
      <c r="F244" s="12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1.25" customHeight="1" x14ac:dyDescent="0.2">
      <c r="A245" s="2"/>
      <c r="B245" s="2"/>
      <c r="C245" s="2"/>
      <c r="D245" s="4">
        <v>43.48</v>
      </c>
      <c r="E245" s="4"/>
      <c r="F245" s="130">
        <f>SUM(E232:E243)</f>
        <v>24.049653333333328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1.25" customHeight="1" x14ac:dyDescent="0.2">
      <c r="A246" s="2"/>
      <c r="B246" s="2"/>
      <c r="C246" s="2"/>
      <c r="D246" s="4"/>
      <c r="E246" s="4"/>
      <c r="F246" s="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1.25" customHeight="1" x14ac:dyDescent="0.2">
      <c r="A247" s="156" t="s">
        <v>155</v>
      </c>
      <c r="B247" s="2"/>
      <c r="C247" s="2"/>
      <c r="D247" s="4"/>
      <c r="E247" s="4"/>
      <c r="F247" s="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1.25" customHeight="1" x14ac:dyDescent="0.2">
      <c r="A248" s="55" t="s">
        <v>20</v>
      </c>
      <c r="B248" s="56" t="s">
        <v>21</v>
      </c>
      <c r="C248" s="56" t="s">
        <v>13</v>
      </c>
      <c r="D248" s="57" t="s">
        <v>22</v>
      </c>
      <c r="E248" s="57" t="s">
        <v>23</v>
      </c>
      <c r="F248" s="58" t="s">
        <v>156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1.25" customHeight="1" x14ac:dyDescent="0.2">
      <c r="A249" s="138" t="s">
        <v>157</v>
      </c>
      <c r="B249" s="185" t="s">
        <v>158</v>
      </c>
      <c r="C249" s="162">
        <f>C233</f>
        <v>16</v>
      </c>
      <c r="D249" s="62">
        <v>20</v>
      </c>
      <c r="E249" s="63">
        <f>C249*D249</f>
        <v>320</v>
      </c>
      <c r="F249" s="12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1.25" customHeight="1" x14ac:dyDescent="0.2">
      <c r="A250" s="2"/>
      <c r="B250" s="2"/>
      <c r="C250" s="2"/>
      <c r="D250" s="4"/>
      <c r="E250" s="4">
        <v>1069.2</v>
      </c>
      <c r="F250" s="130">
        <f>E249</f>
        <v>320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1.25" customHeight="1" x14ac:dyDescent="0.2">
      <c r="A251" s="2"/>
      <c r="B251" s="2"/>
      <c r="C251" s="2"/>
      <c r="D251" s="4"/>
      <c r="E251" s="4"/>
      <c r="F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1.25" customHeight="1" x14ac:dyDescent="0.2">
      <c r="A252" s="156" t="s">
        <v>159</v>
      </c>
      <c r="B252" s="2"/>
      <c r="C252" s="2"/>
      <c r="D252" s="4"/>
      <c r="E252" s="4"/>
      <c r="F252" s="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1.25" customHeight="1" x14ac:dyDescent="0.2">
      <c r="A253" s="55" t="s">
        <v>20</v>
      </c>
      <c r="B253" s="56" t="s">
        <v>21</v>
      </c>
      <c r="C253" s="56" t="s">
        <v>13</v>
      </c>
      <c r="D253" s="57" t="s">
        <v>22</v>
      </c>
      <c r="E253" s="57" t="s">
        <v>23</v>
      </c>
      <c r="F253" s="58" t="s">
        <v>160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1.25" customHeight="1" x14ac:dyDescent="0.2">
      <c r="A254" s="168" t="s">
        <v>128</v>
      </c>
      <c r="B254" s="61" t="s">
        <v>45</v>
      </c>
      <c r="C254" s="190">
        <v>4</v>
      </c>
      <c r="D254" s="62">
        <v>4150</v>
      </c>
      <c r="E254" s="63">
        <f>C254*D254</f>
        <v>16600</v>
      </c>
      <c r="F254" s="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1.25" customHeight="1" x14ac:dyDescent="0.2">
      <c r="A255" s="60" t="s">
        <v>129</v>
      </c>
      <c r="B255" s="61" t="s">
        <v>45</v>
      </c>
      <c r="C255" s="169">
        <v>1</v>
      </c>
      <c r="D255" s="63"/>
      <c r="E255" s="63"/>
      <c r="F255" s="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1.25" customHeight="1" x14ac:dyDescent="0.2">
      <c r="A256" s="60" t="s">
        <v>130</v>
      </c>
      <c r="B256" s="61" t="s">
        <v>45</v>
      </c>
      <c r="C256" s="191">
        <v>0</v>
      </c>
      <c r="D256" s="62">
        <v>0</v>
      </c>
      <c r="E256" s="63">
        <f>C256*D256</f>
        <v>0</v>
      </c>
      <c r="F256" s="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1.25" customHeight="1" x14ac:dyDescent="0.2">
      <c r="A257" s="36" t="s">
        <v>131</v>
      </c>
      <c r="B257" s="188" t="s">
        <v>161</v>
      </c>
      <c r="C257" s="192">
        <v>20000</v>
      </c>
      <c r="D257" s="67">
        <f>E254+E256</f>
        <v>16600</v>
      </c>
      <c r="E257" s="67">
        <f>IFERROR(D257/C257,"-")</f>
        <v>0.83</v>
      </c>
      <c r="F257" s="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1.25" customHeight="1" x14ac:dyDescent="0.2">
      <c r="A258" s="36" t="s">
        <v>133</v>
      </c>
      <c r="B258" s="188" t="s">
        <v>151</v>
      </c>
      <c r="C258" s="162">
        <f>B229</f>
        <v>16</v>
      </c>
      <c r="D258" s="67">
        <f>E257</f>
        <v>0.83</v>
      </c>
      <c r="E258" s="67">
        <f>IFERROR(C258*D258,0)</f>
        <v>13.28</v>
      </c>
      <c r="F258" s="12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1.25" customHeight="1" x14ac:dyDescent="0.2">
      <c r="A259" s="2"/>
      <c r="B259" s="2"/>
      <c r="C259" s="147"/>
      <c r="D259" s="4"/>
      <c r="E259" s="4"/>
      <c r="F259" s="130">
        <f>E258</f>
        <v>13.28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1.25" customHeight="1" x14ac:dyDescent="0.2"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2.75" customHeight="1" x14ac:dyDescent="0.2">
      <c r="A261" s="112" t="s">
        <v>162</v>
      </c>
      <c r="B261" s="113"/>
      <c r="C261" s="113"/>
      <c r="D261" s="31"/>
      <c r="E261" s="114"/>
      <c r="F261" s="130">
        <f>+SUM(F110:F260)</f>
        <v>35347.735757500006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2.75" customHeight="1" x14ac:dyDescent="0.2">
      <c r="A262" s="2"/>
      <c r="B262" s="2"/>
      <c r="C262" s="2"/>
      <c r="D262" s="4"/>
      <c r="E262" s="4"/>
      <c r="F262" s="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2.75" customHeight="1" x14ac:dyDescent="0.2">
      <c r="A263" s="17" t="s">
        <v>163</v>
      </c>
      <c r="B263" s="17"/>
      <c r="C263" s="17"/>
      <c r="D263" s="75"/>
      <c r="E263" s="75"/>
      <c r="F263" s="7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2.75" customHeight="1" x14ac:dyDescent="0.2">
      <c r="A264" s="2"/>
      <c r="B264" s="2"/>
      <c r="C264" s="2"/>
      <c r="D264" s="4"/>
      <c r="E264" s="4"/>
      <c r="F264" s="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2.75" customHeight="1" x14ac:dyDescent="0.2">
      <c r="A265" s="55" t="s">
        <v>20</v>
      </c>
      <c r="B265" s="56" t="s">
        <v>21</v>
      </c>
      <c r="C265" s="56" t="s">
        <v>13</v>
      </c>
      <c r="D265" s="57" t="s">
        <v>22</v>
      </c>
      <c r="E265" s="57" t="s">
        <v>23</v>
      </c>
      <c r="F265" s="58" t="s">
        <v>164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2.75" customHeight="1" x14ac:dyDescent="0.2">
      <c r="A266" s="36" t="s">
        <v>165</v>
      </c>
      <c r="B266" s="193" t="s">
        <v>166</v>
      </c>
      <c r="C266" s="37">
        <f>C110</f>
        <v>1</v>
      </c>
      <c r="D266" s="110">
        <v>131.5</v>
      </c>
      <c r="E266" s="67">
        <f>+D266*C266</f>
        <v>131.5</v>
      </c>
      <c r="F266" s="141">
        <v>110</v>
      </c>
      <c r="G266" s="19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2.75" customHeight="1" x14ac:dyDescent="0.2">
      <c r="A267" s="36" t="s">
        <v>167</v>
      </c>
      <c r="B267" s="193" t="s">
        <v>26</v>
      </c>
      <c r="C267" s="65">
        <v>60</v>
      </c>
      <c r="D267" s="195">
        <f>SUM(E266)</f>
        <v>131.5</v>
      </c>
      <c r="E267" s="195">
        <f>+D267/C267</f>
        <v>2.1916666666666669</v>
      </c>
      <c r="F267" s="14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2.75" customHeight="1" x14ac:dyDescent="0.2">
      <c r="A268" s="36" t="s">
        <v>168</v>
      </c>
      <c r="B268" s="65" t="s">
        <v>45</v>
      </c>
      <c r="C268" s="37">
        <f>+C266</f>
        <v>1</v>
      </c>
      <c r="D268" s="110">
        <v>58.22</v>
      </c>
      <c r="E268" s="67">
        <f>C268*D268</f>
        <v>58.22</v>
      </c>
      <c r="F268" s="141">
        <v>48.7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2.75" customHeight="1" x14ac:dyDescent="0.2">
      <c r="A269" s="36" t="s">
        <v>169</v>
      </c>
      <c r="B269" s="193" t="s">
        <v>26</v>
      </c>
      <c r="C269" s="65">
        <v>1</v>
      </c>
      <c r="D269" s="195">
        <f>+E268</f>
        <v>58.22</v>
      </c>
      <c r="E269" s="195">
        <f>+D269/C269</f>
        <v>58.22</v>
      </c>
      <c r="F269" s="15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2.75" customHeight="1" x14ac:dyDescent="0.2">
      <c r="A270" s="59"/>
      <c r="B270" s="59"/>
      <c r="C270" s="59"/>
      <c r="D270" s="79" t="s">
        <v>40</v>
      </c>
      <c r="E270" s="35">
        <f>$B$44</f>
        <v>1</v>
      </c>
      <c r="F270" s="196">
        <f>(E267+E269)*E270</f>
        <v>60.411666666666669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2.75" customHeight="1" x14ac:dyDescent="0.2">
      <c r="A271" s="2"/>
      <c r="B271" s="2"/>
      <c r="C271" s="2"/>
      <c r="D271" s="147"/>
      <c r="E271" s="4"/>
      <c r="F271" s="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2.75" customHeight="1" x14ac:dyDescent="0.2">
      <c r="A272" s="112" t="s">
        <v>170</v>
      </c>
      <c r="B272" s="113"/>
      <c r="C272" s="113"/>
      <c r="D272" s="31"/>
      <c r="E272" s="114"/>
      <c r="F272" s="130">
        <f>+F270</f>
        <v>60.411666666666669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2.75" customHeight="1" x14ac:dyDescent="0.2">
      <c r="A273" s="2"/>
      <c r="B273" s="2"/>
      <c r="C273" s="2"/>
      <c r="D273" s="4"/>
      <c r="E273" s="4"/>
      <c r="F273" s="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2.75" customHeight="1" x14ac:dyDescent="0.2">
      <c r="A274" s="112" t="s">
        <v>171</v>
      </c>
      <c r="B274" s="127"/>
      <c r="C274" s="127"/>
      <c r="D274" s="128"/>
      <c r="E274" s="129"/>
      <c r="F274" s="115">
        <f>+F272+F261+F102+F81</f>
        <v>43856.913802409239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2.75" customHeight="1" x14ac:dyDescent="0.2">
      <c r="A275" s="2"/>
      <c r="B275" s="2"/>
      <c r="C275" s="2"/>
      <c r="D275" s="4"/>
      <c r="E275" s="4"/>
      <c r="F275" s="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2.75" customHeight="1" x14ac:dyDescent="0.2">
      <c r="A276" s="1" t="s">
        <v>172</v>
      </c>
      <c r="B276" s="2"/>
      <c r="C276" s="2"/>
      <c r="D276" s="4"/>
      <c r="E276" s="4"/>
      <c r="F276" s="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2.75" customHeight="1" x14ac:dyDescent="0.2">
      <c r="A277" s="2"/>
      <c r="B277" s="2"/>
      <c r="C277" s="2"/>
      <c r="D277" s="4"/>
      <c r="E277" s="4"/>
      <c r="F277" s="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2.75" customHeight="1" x14ac:dyDescent="0.2">
      <c r="A278" s="55" t="s">
        <v>20</v>
      </c>
      <c r="B278" s="56" t="s">
        <v>21</v>
      </c>
      <c r="C278" s="56" t="s">
        <v>13</v>
      </c>
      <c r="D278" s="57" t="s">
        <v>22</v>
      </c>
      <c r="E278" s="57" t="s">
        <v>23</v>
      </c>
      <c r="F278" s="58" t="s">
        <v>173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2.75" customHeight="1" x14ac:dyDescent="0.2">
      <c r="A279" s="140" t="s">
        <v>174</v>
      </c>
      <c r="B279" s="188" t="s">
        <v>175</v>
      </c>
      <c r="C279" s="197">
        <v>618</v>
      </c>
      <c r="D279" s="110">
        <v>58.22</v>
      </c>
      <c r="E279" s="198">
        <f>C279*D279</f>
        <v>35979.96</v>
      </c>
      <c r="F279" s="141"/>
      <c r="G279" s="19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2.75" customHeight="1" x14ac:dyDescent="0.2">
      <c r="A280" s="59"/>
      <c r="B280" s="59"/>
      <c r="C280" s="59"/>
      <c r="D280" s="79"/>
      <c r="E280" s="199"/>
      <c r="F280" s="200">
        <f>E279</f>
        <v>35979.96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2.75" customHeight="1" x14ac:dyDescent="0.2">
      <c r="A281" s="2"/>
      <c r="B281" s="2"/>
      <c r="C281" s="2"/>
      <c r="D281" s="4"/>
      <c r="E281" s="4"/>
      <c r="F281" s="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2.75" customHeight="1" x14ac:dyDescent="0.2">
      <c r="A282" s="112" t="s">
        <v>176</v>
      </c>
      <c r="B282" s="127"/>
      <c r="C282" s="127"/>
      <c r="D282" s="128"/>
      <c r="E282" s="129"/>
      <c r="F282" s="115">
        <f>+F274+F280</f>
        <v>79836.873802409245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2.75" customHeight="1" x14ac:dyDescent="0.2">
      <c r="A283" s="2"/>
      <c r="B283" s="2"/>
      <c r="C283" s="2"/>
      <c r="D283" s="4"/>
      <c r="E283" s="4"/>
      <c r="F283" s="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2.75" customHeight="1" x14ac:dyDescent="0.2">
      <c r="A284" s="1" t="s">
        <v>177</v>
      </c>
      <c r="B284" s="2"/>
      <c r="C284" s="2"/>
      <c r="D284" s="4"/>
      <c r="E284" s="4"/>
      <c r="F284" s="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2.75" customHeight="1" x14ac:dyDescent="0.2">
      <c r="A285" s="2"/>
      <c r="B285" s="2"/>
      <c r="C285" s="2"/>
      <c r="D285" s="4"/>
      <c r="E285" s="4"/>
      <c r="F285" s="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2.75" customHeight="1" x14ac:dyDescent="0.2">
      <c r="A286" s="55" t="s">
        <v>20</v>
      </c>
      <c r="B286" s="56" t="s">
        <v>21</v>
      </c>
      <c r="C286" s="56" t="s">
        <v>13</v>
      </c>
      <c r="D286" s="57" t="s">
        <v>22</v>
      </c>
      <c r="E286" s="57" t="s">
        <v>23</v>
      </c>
      <c r="F286" s="58" t="s">
        <v>178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2.75" customHeight="1" x14ac:dyDescent="0.2">
      <c r="A287" s="60" t="s">
        <v>179</v>
      </c>
      <c r="B287" s="61" t="s">
        <v>6</v>
      </c>
      <c r="C287" s="76">
        <f>'4.BDI'!C20*100</f>
        <v>34.589999999999996</v>
      </c>
      <c r="D287" s="63">
        <f>+F282</f>
        <v>79836.873802409245</v>
      </c>
      <c r="E287" s="63">
        <f>C287*D287/100</f>
        <v>27615.574648253354</v>
      </c>
      <c r="F287" s="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2.75" customHeight="1" x14ac:dyDescent="0.2">
      <c r="A288" s="2"/>
      <c r="B288" s="2"/>
      <c r="C288" s="2"/>
      <c r="D288" s="4"/>
      <c r="E288" s="4"/>
      <c r="F288" s="196">
        <f>+E287</f>
        <v>27615.574648253354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2.75" customHeight="1" x14ac:dyDescent="0.2">
      <c r="A289" s="2"/>
      <c r="B289" s="2"/>
      <c r="C289" s="2"/>
      <c r="D289" s="4"/>
      <c r="E289" s="4"/>
      <c r="F289" s="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2.75" customHeight="1" x14ac:dyDescent="0.2">
      <c r="A290" s="201" t="s">
        <v>180</v>
      </c>
      <c r="B290" s="127"/>
      <c r="C290" s="127"/>
      <c r="D290" s="128"/>
      <c r="E290" s="129"/>
      <c r="F290" s="115">
        <f>F282+F288</f>
        <v>107452.4484506626</v>
      </c>
      <c r="G290" s="13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2.75" customHeight="1" x14ac:dyDescent="0.2">
      <c r="A291" s="202"/>
      <c r="E291" s="56" t="s">
        <v>13</v>
      </c>
      <c r="F291" s="203" t="s">
        <v>181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2.75" customHeight="1" x14ac:dyDescent="0.2">
      <c r="A292" s="311" t="s">
        <v>182</v>
      </c>
      <c r="B292" s="310"/>
      <c r="C292" s="310"/>
      <c r="D292" s="312"/>
      <c r="E292" s="204">
        <v>618</v>
      </c>
      <c r="F292" s="205">
        <v>173.87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2.75" customHeight="1" x14ac:dyDescent="0.2">
      <c r="A296" s="17"/>
      <c r="B296" s="2"/>
      <c r="C296" s="2"/>
      <c r="D296" s="4"/>
      <c r="E296" s="4"/>
      <c r="F296" s="20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2.75" customHeight="1" x14ac:dyDescent="0.2">
      <c r="A301" s="17"/>
      <c r="B301" s="17"/>
      <c r="C301" s="17"/>
      <c r="D301" s="75"/>
      <c r="E301" s="7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2.75" customHeight="1" x14ac:dyDescent="0.2">
      <c r="A302" s="207"/>
      <c r="B302" s="4"/>
      <c r="C302" s="4"/>
      <c r="D302" s="4"/>
      <c r="E302" s="4"/>
      <c r="F302" s="7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2.75" customHeight="1" x14ac:dyDescent="0.2">
      <c r="A303" s="2"/>
      <c r="B303" s="2"/>
      <c r="C303" s="2"/>
      <c r="D303" s="4"/>
      <c r="E303" s="4"/>
      <c r="F303" s="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2.75" customHeight="1" x14ac:dyDescent="0.2">
      <c r="A304" s="2"/>
      <c r="B304" s="2"/>
      <c r="C304" s="2"/>
      <c r="D304" s="4"/>
      <c r="E304" s="4"/>
      <c r="F304" s="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2.75" customHeight="1" x14ac:dyDescent="0.2">
      <c r="A305" s="2"/>
      <c r="B305" s="2"/>
      <c r="C305" s="2"/>
      <c r="D305" s="4"/>
      <c r="E305" s="4"/>
      <c r="F305" s="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2.75" customHeight="1" x14ac:dyDescent="0.2">
      <c r="A306" s="2"/>
      <c r="B306" s="2"/>
      <c r="C306" s="2"/>
      <c r="D306" s="4"/>
      <c r="E306" s="4"/>
      <c r="F306" s="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2.75" customHeight="1" x14ac:dyDescent="0.2">
      <c r="A307" s="2"/>
      <c r="B307" s="2"/>
      <c r="C307" s="2"/>
      <c r="D307" s="4"/>
      <c r="E307" s="4"/>
      <c r="F307" s="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2.75" customHeight="1" x14ac:dyDescent="0.2">
      <c r="A308" s="2"/>
      <c r="B308" s="2"/>
      <c r="C308" s="2"/>
      <c r="D308" s="4"/>
      <c r="E308" s="4"/>
      <c r="F308" s="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2.75" customHeight="1" x14ac:dyDescent="0.2">
      <c r="A309" s="2"/>
      <c r="B309" s="2"/>
      <c r="C309" s="2"/>
      <c r="D309" s="4"/>
      <c r="E309" s="4"/>
      <c r="F309" s="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2.75" customHeight="1" x14ac:dyDescent="0.2">
      <c r="A310" s="2"/>
      <c r="B310" s="2"/>
      <c r="C310" s="2"/>
      <c r="D310" s="4"/>
      <c r="E310" s="4"/>
      <c r="F310" s="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2.75" customHeight="1" x14ac:dyDescent="0.2">
      <c r="A311" s="2"/>
      <c r="B311" s="2"/>
      <c r="C311" s="2"/>
      <c r="D311" s="4"/>
      <c r="E311" s="4"/>
      <c r="F311" s="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2.75" customHeight="1" x14ac:dyDescent="0.2">
      <c r="A312" s="2"/>
      <c r="B312" s="2"/>
      <c r="C312" s="2"/>
      <c r="D312" s="4"/>
      <c r="E312" s="4"/>
      <c r="F312" s="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2.75" customHeight="1" x14ac:dyDescent="0.2">
      <c r="A313" s="2"/>
      <c r="B313" s="2"/>
      <c r="C313" s="2"/>
      <c r="D313" s="4"/>
      <c r="E313" s="4"/>
      <c r="F313" s="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2.75" customHeight="1" x14ac:dyDescent="0.2">
      <c r="A314" s="2"/>
      <c r="B314" s="2"/>
      <c r="C314" s="2"/>
      <c r="D314" s="4"/>
      <c r="E314" s="4"/>
      <c r="F314" s="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2.75" customHeight="1" x14ac:dyDescent="0.2">
      <c r="A315" s="2"/>
      <c r="B315" s="2"/>
      <c r="C315" s="2"/>
      <c r="D315" s="4"/>
      <c r="E315" s="4"/>
      <c r="F315" s="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2.75" customHeight="1" x14ac:dyDescent="0.2">
      <c r="A316" s="2"/>
      <c r="B316" s="2"/>
      <c r="C316" s="2"/>
      <c r="D316" s="4"/>
      <c r="E316" s="4"/>
      <c r="F316" s="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2.75" customHeight="1" x14ac:dyDescent="0.2">
      <c r="A317" s="2"/>
      <c r="B317" s="2"/>
      <c r="C317" s="2"/>
      <c r="D317" s="4"/>
      <c r="E317" s="4"/>
      <c r="F317" s="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2.75" customHeight="1" x14ac:dyDescent="0.2">
      <c r="A318" s="2"/>
      <c r="B318" s="2"/>
      <c r="C318" s="2"/>
      <c r="D318" s="4"/>
      <c r="E318" s="4"/>
      <c r="F318" s="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2.75" customHeight="1" x14ac:dyDescent="0.2">
      <c r="A319" s="2"/>
      <c r="B319" s="2"/>
      <c r="C319" s="2"/>
      <c r="D319" s="4"/>
      <c r="E319" s="4"/>
      <c r="F319" s="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2.75" customHeight="1" x14ac:dyDescent="0.2">
      <c r="A320" s="2"/>
      <c r="B320" s="2"/>
      <c r="C320" s="2"/>
      <c r="D320" s="4"/>
      <c r="E320" s="4"/>
      <c r="F320" s="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2.75" customHeight="1" x14ac:dyDescent="0.2">
      <c r="A321" s="2"/>
      <c r="B321" s="2"/>
      <c r="C321" s="2"/>
      <c r="D321" s="4"/>
      <c r="E321" s="4"/>
      <c r="F321" s="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2.75" customHeight="1" x14ac:dyDescent="0.2">
      <c r="A322" s="2"/>
      <c r="B322" s="2"/>
      <c r="C322" s="2"/>
      <c r="D322" s="4"/>
      <c r="E322" s="4"/>
      <c r="F322" s="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2.75" customHeight="1" x14ac:dyDescent="0.2">
      <c r="A323" s="2"/>
      <c r="B323" s="2"/>
      <c r="C323" s="2"/>
      <c r="D323" s="4"/>
      <c r="E323" s="4"/>
      <c r="F323" s="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2.75" customHeight="1" x14ac:dyDescent="0.2">
      <c r="A324" s="2"/>
      <c r="B324" s="2"/>
      <c r="C324" s="2"/>
      <c r="D324" s="4"/>
      <c r="E324" s="4"/>
      <c r="F324" s="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2.75" customHeight="1" x14ac:dyDescent="0.2">
      <c r="A325" s="2"/>
      <c r="B325" s="2"/>
      <c r="C325" s="2"/>
      <c r="D325" s="4"/>
      <c r="E325" s="4"/>
      <c r="F325" s="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2.75" customHeight="1" x14ac:dyDescent="0.2">
      <c r="A326" s="2"/>
      <c r="B326" s="2"/>
      <c r="C326" s="2"/>
      <c r="D326" s="4"/>
      <c r="E326" s="4"/>
      <c r="F326" s="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2.75" customHeight="1" x14ac:dyDescent="0.2">
      <c r="A327" s="2"/>
      <c r="B327" s="2"/>
      <c r="C327" s="2"/>
      <c r="D327" s="4"/>
      <c r="E327" s="4"/>
      <c r="F327" s="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2.75" customHeight="1" x14ac:dyDescent="0.2">
      <c r="A328" s="2"/>
      <c r="B328" s="2"/>
      <c r="C328" s="2"/>
      <c r="D328" s="4"/>
      <c r="E328" s="4"/>
      <c r="F328" s="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2.75" customHeight="1" x14ac:dyDescent="0.2">
      <c r="A329" s="2"/>
      <c r="B329" s="2"/>
      <c r="C329" s="2"/>
      <c r="D329" s="4"/>
      <c r="E329" s="4"/>
      <c r="F329" s="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2.75" customHeight="1" x14ac:dyDescent="0.2">
      <c r="A330" s="2"/>
      <c r="B330" s="2"/>
      <c r="C330" s="2"/>
      <c r="D330" s="4"/>
      <c r="E330" s="4"/>
      <c r="F330" s="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2.75" customHeight="1" x14ac:dyDescent="0.2">
      <c r="A331" s="2"/>
      <c r="B331" s="2"/>
      <c r="C331" s="2"/>
      <c r="D331" s="4"/>
      <c r="E331" s="4"/>
      <c r="F331" s="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2.75" customHeight="1" x14ac:dyDescent="0.2">
      <c r="A332" s="2"/>
      <c r="B332" s="2"/>
      <c r="C332" s="2"/>
      <c r="D332" s="4"/>
      <c r="E332" s="4"/>
      <c r="F332" s="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2.75" customHeight="1" x14ac:dyDescent="0.2">
      <c r="A333" s="2"/>
      <c r="B333" s="2"/>
      <c r="C333" s="2"/>
      <c r="D333" s="4"/>
      <c r="E333" s="4"/>
      <c r="F333" s="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2.75" customHeight="1" x14ac:dyDescent="0.2">
      <c r="A334" s="2"/>
      <c r="B334" s="2"/>
      <c r="C334" s="2"/>
      <c r="D334" s="4"/>
      <c r="E334" s="4"/>
      <c r="F334" s="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2.75" customHeight="1" x14ac:dyDescent="0.2">
      <c r="A335" s="2"/>
      <c r="B335" s="2"/>
      <c r="C335" s="2"/>
      <c r="D335" s="4"/>
      <c r="E335" s="4"/>
      <c r="F335" s="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2.75" customHeight="1" x14ac:dyDescent="0.2">
      <c r="A336" s="2"/>
      <c r="B336" s="2"/>
      <c r="C336" s="2"/>
      <c r="D336" s="4"/>
      <c r="E336" s="4"/>
      <c r="F336" s="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2.75" customHeight="1" x14ac:dyDescent="0.2">
      <c r="A337" s="2"/>
      <c r="B337" s="2"/>
      <c r="C337" s="2"/>
      <c r="D337" s="4"/>
      <c r="E337" s="4"/>
      <c r="F337" s="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2.75" customHeight="1" x14ac:dyDescent="0.2">
      <c r="A338" s="2"/>
      <c r="B338" s="2"/>
      <c r="C338" s="2"/>
      <c r="D338" s="4"/>
      <c r="E338" s="4"/>
      <c r="F338" s="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2.75" customHeight="1" x14ac:dyDescent="0.2">
      <c r="A339" s="2"/>
      <c r="B339" s="2"/>
      <c r="C339" s="2"/>
      <c r="D339" s="4"/>
      <c r="E339" s="4"/>
      <c r="F339" s="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2.75" customHeight="1" x14ac:dyDescent="0.2">
      <c r="A340" s="2"/>
      <c r="B340" s="2"/>
      <c r="C340" s="2"/>
      <c r="D340" s="4"/>
      <c r="E340" s="4"/>
      <c r="F340" s="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2.75" customHeight="1" x14ac:dyDescent="0.2">
      <c r="A341" s="2"/>
      <c r="B341" s="2"/>
      <c r="C341" s="2"/>
      <c r="D341" s="4"/>
      <c r="E341" s="4"/>
      <c r="F341" s="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2.75" customHeight="1" x14ac:dyDescent="0.2">
      <c r="A342" s="2"/>
      <c r="B342" s="2"/>
      <c r="C342" s="2"/>
      <c r="D342" s="4"/>
      <c r="E342" s="4"/>
      <c r="F342" s="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2.75" customHeight="1" x14ac:dyDescent="0.2">
      <c r="A343" s="2"/>
      <c r="B343" s="2"/>
      <c r="C343" s="2"/>
      <c r="D343" s="4"/>
      <c r="E343" s="4"/>
      <c r="F343" s="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2.75" customHeight="1" x14ac:dyDescent="0.2">
      <c r="A344" s="2"/>
      <c r="B344" s="2"/>
      <c r="C344" s="2"/>
      <c r="D344" s="4"/>
      <c r="E344" s="4"/>
      <c r="F344" s="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2.75" customHeight="1" x14ac:dyDescent="0.2">
      <c r="A345" s="2"/>
      <c r="B345" s="2"/>
      <c r="C345" s="2"/>
      <c r="D345" s="4"/>
      <c r="E345" s="4"/>
      <c r="F345" s="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2.75" customHeight="1" x14ac:dyDescent="0.2">
      <c r="A346" s="2"/>
      <c r="B346" s="2"/>
      <c r="C346" s="2"/>
      <c r="D346" s="4"/>
      <c r="E346" s="4"/>
      <c r="F346" s="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2.75" customHeight="1" x14ac:dyDescent="0.2">
      <c r="A347" s="2"/>
      <c r="B347" s="2"/>
      <c r="C347" s="2"/>
      <c r="D347" s="4"/>
      <c r="E347" s="4"/>
      <c r="F347" s="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2.75" customHeight="1" x14ac:dyDescent="0.2">
      <c r="A348" s="2"/>
      <c r="B348" s="2"/>
      <c r="C348" s="2"/>
      <c r="D348" s="4"/>
      <c r="E348" s="4"/>
      <c r="F348" s="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2.75" customHeight="1" x14ac:dyDescent="0.2">
      <c r="A349" s="2"/>
      <c r="B349" s="2"/>
      <c r="C349" s="2"/>
      <c r="D349" s="4"/>
      <c r="E349" s="4"/>
      <c r="F349" s="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2.75" customHeight="1" x14ac:dyDescent="0.2">
      <c r="A350" s="2"/>
      <c r="B350" s="2"/>
      <c r="C350" s="2"/>
      <c r="D350" s="4"/>
      <c r="E350" s="4"/>
      <c r="F350" s="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2.75" customHeight="1" x14ac:dyDescent="0.2">
      <c r="A351" s="2"/>
      <c r="B351" s="2"/>
      <c r="C351" s="2"/>
      <c r="D351" s="4"/>
      <c r="E351" s="4"/>
      <c r="F351" s="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2.75" customHeight="1" x14ac:dyDescent="0.2">
      <c r="A352" s="2"/>
      <c r="B352" s="2"/>
      <c r="C352" s="2"/>
      <c r="D352" s="4"/>
      <c r="E352" s="4"/>
      <c r="F352" s="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2.75" customHeight="1" x14ac:dyDescent="0.2">
      <c r="A353" s="2"/>
      <c r="B353" s="2"/>
      <c r="C353" s="2"/>
      <c r="D353" s="4"/>
      <c r="E353" s="4"/>
      <c r="F353" s="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2.75" customHeight="1" x14ac:dyDescent="0.2">
      <c r="A354" s="2"/>
      <c r="B354" s="2"/>
      <c r="C354" s="2"/>
      <c r="D354" s="4"/>
      <c r="E354" s="4"/>
      <c r="F354" s="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2.75" customHeight="1" x14ac:dyDescent="0.2">
      <c r="A355" s="2"/>
      <c r="B355" s="2"/>
      <c r="C355" s="2"/>
      <c r="D355" s="4"/>
      <c r="E355" s="4"/>
      <c r="F355" s="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2.75" customHeight="1" x14ac:dyDescent="0.2">
      <c r="A356" s="2"/>
      <c r="B356" s="2"/>
      <c r="C356" s="2"/>
      <c r="D356" s="4"/>
      <c r="E356" s="4"/>
      <c r="F356" s="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2.75" customHeight="1" x14ac:dyDescent="0.2">
      <c r="A357" s="2"/>
      <c r="B357" s="2"/>
      <c r="C357" s="2"/>
      <c r="D357" s="4"/>
      <c r="E357" s="4"/>
      <c r="F357" s="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2.75" customHeight="1" x14ac:dyDescent="0.2">
      <c r="A358" s="2"/>
      <c r="B358" s="2"/>
      <c r="C358" s="2"/>
      <c r="D358" s="4"/>
      <c r="E358" s="4"/>
      <c r="F358" s="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2.75" customHeight="1" x14ac:dyDescent="0.2">
      <c r="A359" s="2"/>
      <c r="B359" s="2"/>
      <c r="C359" s="2"/>
      <c r="D359" s="4"/>
      <c r="E359" s="4"/>
      <c r="F359" s="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2.75" customHeight="1" x14ac:dyDescent="0.2">
      <c r="A360" s="2"/>
      <c r="B360" s="2"/>
      <c r="C360" s="2"/>
      <c r="D360" s="4"/>
      <c r="E360" s="4"/>
      <c r="F360" s="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2.75" customHeight="1" x14ac:dyDescent="0.2">
      <c r="A361" s="2"/>
      <c r="B361" s="2"/>
      <c r="C361" s="2"/>
      <c r="D361" s="4"/>
      <c r="E361" s="4"/>
      <c r="F361" s="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2.75" customHeight="1" x14ac:dyDescent="0.2">
      <c r="A362" s="2"/>
      <c r="B362" s="2"/>
      <c r="C362" s="2"/>
      <c r="D362" s="4"/>
      <c r="E362" s="4"/>
      <c r="F362" s="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2.75" customHeight="1" x14ac:dyDescent="0.2">
      <c r="A363" s="2"/>
      <c r="B363" s="2"/>
      <c r="C363" s="2"/>
      <c r="D363" s="4"/>
      <c r="E363" s="4"/>
      <c r="F363" s="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2.75" customHeight="1" x14ac:dyDescent="0.2">
      <c r="A364" s="2"/>
      <c r="B364" s="2"/>
      <c r="C364" s="2"/>
      <c r="D364" s="4"/>
      <c r="E364" s="4"/>
      <c r="F364" s="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2.75" customHeight="1" x14ac:dyDescent="0.2">
      <c r="A365" s="2"/>
      <c r="B365" s="2"/>
      <c r="C365" s="2"/>
      <c r="D365" s="4"/>
      <c r="E365" s="4"/>
      <c r="F365" s="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2.75" customHeight="1" x14ac:dyDescent="0.2">
      <c r="A366" s="2"/>
      <c r="B366" s="2"/>
      <c r="C366" s="2"/>
      <c r="D366" s="4"/>
      <c r="E366" s="4"/>
      <c r="F366" s="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2.75" customHeight="1" x14ac:dyDescent="0.2">
      <c r="A367" s="2"/>
      <c r="B367" s="2"/>
      <c r="C367" s="2"/>
      <c r="D367" s="4"/>
      <c r="E367" s="4"/>
      <c r="F367" s="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2.75" customHeight="1" x14ac:dyDescent="0.2">
      <c r="A368" s="2"/>
      <c r="B368" s="2"/>
      <c r="C368" s="2"/>
      <c r="D368" s="4"/>
      <c r="E368" s="4"/>
      <c r="F368" s="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2.75" customHeight="1" x14ac:dyDescent="0.2">
      <c r="A369" s="2"/>
      <c r="B369" s="2"/>
      <c r="C369" s="2"/>
      <c r="D369" s="4"/>
      <c r="E369" s="4"/>
      <c r="F369" s="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2.75" customHeight="1" x14ac:dyDescent="0.2">
      <c r="A370" s="2"/>
      <c r="B370" s="2"/>
      <c r="C370" s="2"/>
      <c r="D370" s="4"/>
      <c r="E370" s="4"/>
      <c r="F370" s="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2.75" customHeight="1" x14ac:dyDescent="0.2">
      <c r="A371" s="2"/>
      <c r="B371" s="2"/>
      <c r="C371" s="2"/>
      <c r="D371" s="4"/>
      <c r="E371" s="4"/>
      <c r="F371" s="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2.75" customHeight="1" x14ac:dyDescent="0.2">
      <c r="A372" s="2"/>
      <c r="B372" s="2"/>
      <c r="C372" s="2"/>
      <c r="D372" s="4"/>
      <c r="E372" s="4"/>
      <c r="F372" s="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2.75" customHeight="1" x14ac:dyDescent="0.2">
      <c r="A373" s="2"/>
      <c r="B373" s="2"/>
      <c r="C373" s="2"/>
      <c r="D373" s="4"/>
      <c r="E373" s="4"/>
      <c r="F373" s="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2.75" customHeight="1" x14ac:dyDescent="0.2">
      <c r="A374" s="2"/>
      <c r="B374" s="2"/>
      <c r="C374" s="2"/>
      <c r="D374" s="4"/>
      <c r="E374" s="4"/>
      <c r="F374" s="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2.75" customHeight="1" x14ac:dyDescent="0.2">
      <c r="A375" s="2"/>
      <c r="B375" s="2"/>
      <c r="C375" s="2"/>
      <c r="D375" s="4"/>
      <c r="E375" s="4"/>
      <c r="F375" s="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2.75" customHeight="1" x14ac:dyDescent="0.2">
      <c r="A376" s="2"/>
      <c r="B376" s="2"/>
      <c r="C376" s="2"/>
      <c r="D376" s="4"/>
      <c r="E376" s="4"/>
      <c r="F376" s="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2.75" customHeight="1" x14ac:dyDescent="0.2">
      <c r="A377" s="2"/>
      <c r="B377" s="2"/>
      <c r="C377" s="2"/>
      <c r="D377" s="4"/>
      <c r="E377" s="4"/>
      <c r="F377" s="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2.75" customHeight="1" x14ac:dyDescent="0.2">
      <c r="A378" s="2"/>
      <c r="B378" s="2"/>
      <c r="C378" s="2"/>
      <c r="D378" s="4"/>
      <c r="E378" s="4"/>
      <c r="F378" s="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2.75" customHeight="1" x14ac:dyDescent="0.2">
      <c r="A379" s="2"/>
      <c r="B379" s="2"/>
      <c r="C379" s="2"/>
      <c r="D379" s="4"/>
      <c r="E379" s="4"/>
      <c r="F379" s="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2.75" customHeight="1" x14ac:dyDescent="0.2">
      <c r="A380" s="2"/>
      <c r="B380" s="2"/>
      <c r="C380" s="2"/>
      <c r="D380" s="4"/>
      <c r="E380" s="4"/>
      <c r="F380" s="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2.75" customHeight="1" x14ac:dyDescent="0.2">
      <c r="A381" s="2"/>
      <c r="B381" s="2"/>
      <c r="C381" s="2"/>
      <c r="D381" s="4"/>
      <c r="E381" s="4"/>
      <c r="F381" s="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2.75" customHeight="1" x14ac:dyDescent="0.2">
      <c r="A382" s="2"/>
      <c r="B382" s="2"/>
      <c r="C382" s="2"/>
      <c r="D382" s="4"/>
      <c r="E382" s="4"/>
      <c r="F382" s="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2.75" customHeight="1" x14ac:dyDescent="0.2">
      <c r="A383" s="2"/>
      <c r="B383" s="2"/>
      <c r="C383" s="2"/>
      <c r="D383" s="4"/>
      <c r="E383" s="4"/>
      <c r="F383" s="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2.75" customHeight="1" x14ac:dyDescent="0.2">
      <c r="A384" s="2"/>
      <c r="B384" s="2"/>
      <c r="C384" s="2"/>
      <c r="D384" s="4"/>
      <c r="E384" s="4"/>
      <c r="F384" s="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2.75" customHeight="1" x14ac:dyDescent="0.2">
      <c r="A385" s="2"/>
      <c r="B385" s="2"/>
      <c r="C385" s="2"/>
      <c r="D385" s="4"/>
      <c r="E385" s="4"/>
      <c r="F385" s="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2.75" customHeight="1" x14ac:dyDescent="0.2">
      <c r="A386" s="2"/>
      <c r="B386" s="2"/>
      <c r="C386" s="2"/>
      <c r="D386" s="4"/>
      <c r="E386" s="4"/>
      <c r="F386" s="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2.75" customHeight="1" x14ac:dyDescent="0.2">
      <c r="A387" s="2"/>
      <c r="B387" s="2"/>
      <c r="C387" s="2"/>
      <c r="D387" s="4"/>
      <c r="E387" s="4"/>
      <c r="F387" s="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2.75" customHeight="1" x14ac:dyDescent="0.2">
      <c r="A388" s="2"/>
      <c r="B388" s="2"/>
      <c r="C388" s="2"/>
      <c r="D388" s="4"/>
      <c r="E388" s="4"/>
      <c r="F388" s="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2.75" customHeight="1" x14ac:dyDescent="0.2">
      <c r="A389" s="2"/>
      <c r="B389" s="2"/>
      <c r="C389" s="2"/>
      <c r="D389" s="4"/>
      <c r="E389" s="4"/>
      <c r="F389" s="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2.75" customHeight="1" x14ac:dyDescent="0.2">
      <c r="A390" s="2"/>
      <c r="B390" s="2"/>
      <c r="C390" s="2"/>
      <c r="D390" s="4"/>
      <c r="E390" s="4"/>
      <c r="F390" s="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2.75" customHeight="1" x14ac:dyDescent="0.2">
      <c r="A391" s="2"/>
      <c r="B391" s="2"/>
      <c r="C391" s="2"/>
      <c r="D391" s="4"/>
      <c r="E391" s="4"/>
      <c r="F391" s="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2.75" customHeight="1" x14ac:dyDescent="0.2">
      <c r="A392" s="2"/>
      <c r="B392" s="2"/>
      <c r="C392" s="2"/>
      <c r="D392" s="4"/>
      <c r="E392" s="4"/>
      <c r="F392" s="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2.75" customHeight="1" x14ac:dyDescent="0.2">
      <c r="A393" s="2"/>
      <c r="B393" s="2"/>
      <c r="C393" s="2"/>
      <c r="D393" s="4"/>
      <c r="E393" s="4"/>
      <c r="F393" s="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2.75" customHeight="1" x14ac:dyDescent="0.2">
      <c r="A394" s="2"/>
      <c r="B394" s="2"/>
      <c r="C394" s="2"/>
      <c r="D394" s="4"/>
      <c r="E394" s="4"/>
      <c r="F394" s="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2.75" customHeight="1" x14ac:dyDescent="0.2">
      <c r="A395" s="2"/>
      <c r="B395" s="2"/>
      <c r="C395" s="2"/>
      <c r="D395" s="4"/>
      <c r="E395" s="4"/>
      <c r="F395" s="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2.75" customHeight="1" x14ac:dyDescent="0.2">
      <c r="A396" s="2"/>
      <c r="B396" s="2"/>
      <c r="C396" s="2"/>
      <c r="D396" s="4"/>
      <c r="E396" s="4"/>
      <c r="F396" s="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2.75" customHeight="1" x14ac:dyDescent="0.2">
      <c r="A397" s="2"/>
      <c r="B397" s="2"/>
      <c r="C397" s="2"/>
      <c r="D397" s="4"/>
      <c r="E397" s="4"/>
      <c r="F397" s="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2.75" customHeight="1" x14ac:dyDescent="0.2">
      <c r="A398" s="2"/>
      <c r="B398" s="2"/>
      <c r="C398" s="2"/>
      <c r="D398" s="4"/>
      <c r="E398" s="4"/>
      <c r="F398" s="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2.75" customHeight="1" x14ac:dyDescent="0.2">
      <c r="A399" s="2"/>
      <c r="B399" s="2"/>
      <c r="C399" s="2"/>
      <c r="D399" s="4"/>
      <c r="E399" s="4"/>
      <c r="F399" s="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2.75" customHeight="1" x14ac:dyDescent="0.2">
      <c r="A400" s="2"/>
      <c r="B400" s="2"/>
      <c r="C400" s="2"/>
      <c r="D400" s="4"/>
      <c r="E400" s="4"/>
      <c r="F400" s="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2.75" customHeight="1" x14ac:dyDescent="0.2">
      <c r="A401" s="2"/>
      <c r="B401" s="2"/>
      <c r="C401" s="2"/>
      <c r="D401" s="4"/>
      <c r="E401" s="4"/>
      <c r="F401" s="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2.75" customHeight="1" x14ac:dyDescent="0.2">
      <c r="A402" s="2"/>
      <c r="B402" s="2"/>
      <c r="C402" s="2"/>
      <c r="D402" s="4"/>
      <c r="E402" s="4"/>
      <c r="F402" s="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2.75" customHeight="1" x14ac:dyDescent="0.2">
      <c r="A403" s="2"/>
      <c r="B403" s="2"/>
      <c r="C403" s="2"/>
      <c r="D403" s="4"/>
      <c r="E403" s="4"/>
      <c r="F403" s="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2.75" customHeight="1" x14ac:dyDescent="0.2">
      <c r="A404" s="2"/>
      <c r="B404" s="2"/>
      <c r="C404" s="2"/>
      <c r="D404" s="4"/>
      <c r="E404" s="4"/>
      <c r="F404" s="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2.75" customHeight="1" x14ac:dyDescent="0.2">
      <c r="A405" s="2"/>
      <c r="B405" s="2"/>
      <c r="C405" s="2"/>
      <c r="D405" s="4"/>
      <c r="E405" s="4"/>
      <c r="F405" s="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2.75" customHeight="1" x14ac:dyDescent="0.2">
      <c r="A406" s="2"/>
      <c r="B406" s="2"/>
      <c r="C406" s="2"/>
      <c r="D406" s="4"/>
      <c r="E406" s="4"/>
      <c r="F406" s="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2.75" customHeight="1" x14ac:dyDescent="0.2">
      <c r="A407" s="2"/>
      <c r="B407" s="2"/>
      <c r="C407" s="2"/>
      <c r="D407" s="4"/>
      <c r="E407" s="4"/>
      <c r="F407" s="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2.75" customHeight="1" x14ac:dyDescent="0.2">
      <c r="A408" s="2"/>
      <c r="B408" s="2"/>
      <c r="C408" s="2"/>
      <c r="D408" s="4"/>
      <c r="E408" s="4"/>
      <c r="F408" s="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2.75" customHeight="1" x14ac:dyDescent="0.2">
      <c r="A409" s="2"/>
      <c r="B409" s="2"/>
      <c r="C409" s="2"/>
      <c r="D409" s="4"/>
      <c r="E409" s="4"/>
      <c r="F409" s="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2.75" customHeight="1" x14ac:dyDescent="0.2">
      <c r="A410" s="2"/>
      <c r="B410" s="2"/>
      <c r="C410" s="2"/>
      <c r="D410" s="4"/>
      <c r="E410" s="4"/>
      <c r="F410" s="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2.75" customHeight="1" x14ac:dyDescent="0.2">
      <c r="A411" s="2"/>
      <c r="B411" s="2"/>
      <c r="C411" s="2"/>
      <c r="D411" s="4"/>
      <c r="E411" s="4"/>
      <c r="F411" s="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2.75" customHeight="1" x14ac:dyDescent="0.2">
      <c r="A412" s="2"/>
      <c r="B412" s="2"/>
      <c r="C412" s="2"/>
      <c r="D412" s="4"/>
      <c r="E412" s="4"/>
      <c r="F412" s="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2.75" customHeight="1" x14ac:dyDescent="0.2">
      <c r="A413" s="2"/>
      <c r="B413" s="2"/>
      <c r="C413" s="2"/>
      <c r="D413" s="4"/>
      <c r="E413" s="4"/>
      <c r="F413" s="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2.75" customHeight="1" x14ac:dyDescent="0.2">
      <c r="A414" s="2"/>
      <c r="B414" s="2"/>
      <c r="C414" s="2"/>
      <c r="D414" s="4"/>
      <c r="E414" s="4"/>
      <c r="F414" s="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2.75" customHeight="1" x14ac:dyDescent="0.2">
      <c r="A415" s="2"/>
      <c r="B415" s="2"/>
      <c r="C415" s="2"/>
      <c r="D415" s="4"/>
      <c r="E415" s="4"/>
      <c r="F415" s="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2.75" customHeight="1" x14ac:dyDescent="0.2">
      <c r="A416" s="2"/>
      <c r="B416" s="2"/>
      <c r="C416" s="2"/>
      <c r="D416" s="4"/>
      <c r="E416" s="4"/>
      <c r="F416" s="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2.75" customHeight="1" x14ac:dyDescent="0.2">
      <c r="A417" s="2"/>
      <c r="B417" s="2"/>
      <c r="C417" s="2"/>
      <c r="D417" s="4"/>
      <c r="E417" s="4"/>
      <c r="F417" s="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2.75" customHeight="1" x14ac:dyDescent="0.2">
      <c r="A418" s="2"/>
      <c r="B418" s="2"/>
      <c r="C418" s="2"/>
      <c r="D418" s="4"/>
      <c r="E418" s="4"/>
      <c r="F418" s="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2.75" customHeight="1" x14ac:dyDescent="0.2">
      <c r="A419" s="2"/>
      <c r="B419" s="2"/>
      <c r="C419" s="2"/>
      <c r="D419" s="4"/>
      <c r="E419" s="4"/>
      <c r="F419" s="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2.75" customHeight="1" x14ac:dyDescent="0.2">
      <c r="A420" s="2"/>
      <c r="B420" s="2"/>
      <c r="C420" s="2"/>
      <c r="D420" s="4"/>
      <c r="E420" s="4"/>
      <c r="F420" s="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2.75" customHeight="1" x14ac:dyDescent="0.2">
      <c r="A421" s="2"/>
      <c r="B421" s="2"/>
      <c r="C421" s="2"/>
      <c r="D421" s="4"/>
      <c r="E421" s="4"/>
      <c r="F421" s="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2.75" customHeight="1" x14ac:dyDescent="0.2">
      <c r="A422" s="2"/>
      <c r="B422" s="2"/>
      <c r="C422" s="2"/>
      <c r="D422" s="4"/>
      <c r="E422" s="4"/>
      <c r="F422" s="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2.75" customHeight="1" x14ac:dyDescent="0.2">
      <c r="A423" s="2"/>
      <c r="B423" s="2"/>
      <c r="C423" s="2"/>
      <c r="D423" s="4"/>
      <c r="E423" s="4"/>
      <c r="F423" s="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2.75" customHeight="1" x14ac:dyDescent="0.2">
      <c r="A424" s="2"/>
      <c r="B424" s="2"/>
      <c r="C424" s="2"/>
      <c r="D424" s="4"/>
      <c r="E424" s="4"/>
      <c r="F424" s="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2.75" customHeight="1" x14ac:dyDescent="0.2">
      <c r="A425" s="2"/>
      <c r="B425" s="2"/>
      <c r="C425" s="2"/>
      <c r="D425" s="4"/>
      <c r="E425" s="4"/>
      <c r="F425" s="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2.75" customHeight="1" x14ac:dyDescent="0.2">
      <c r="A426" s="2"/>
      <c r="B426" s="2"/>
      <c r="C426" s="2"/>
      <c r="D426" s="4"/>
      <c r="E426" s="4"/>
      <c r="F426" s="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2.75" customHeight="1" x14ac:dyDescent="0.2">
      <c r="A427" s="2"/>
      <c r="B427" s="2"/>
      <c r="C427" s="2"/>
      <c r="D427" s="4"/>
      <c r="E427" s="4"/>
      <c r="F427" s="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2.75" customHeight="1" x14ac:dyDescent="0.2">
      <c r="A428" s="2"/>
      <c r="B428" s="2"/>
      <c r="C428" s="2"/>
      <c r="D428" s="4"/>
      <c r="E428" s="4"/>
      <c r="F428" s="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2.75" customHeight="1" x14ac:dyDescent="0.2">
      <c r="A429" s="2"/>
      <c r="B429" s="2"/>
      <c r="C429" s="2"/>
      <c r="D429" s="4"/>
      <c r="E429" s="4"/>
      <c r="F429" s="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2.75" customHeight="1" x14ac:dyDescent="0.2">
      <c r="A430" s="2"/>
      <c r="B430" s="2"/>
      <c r="C430" s="2"/>
      <c r="D430" s="4"/>
      <c r="E430" s="4"/>
      <c r="F430" s="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2.75" customHeight="1" x14ac:dyDescent="0.2">
      <c r="A431" s="2"/>
      <c r="B431" s="2"/>
      <c r="C431" s="2"/>
      <c r="D431" s="4"/>
      <c r="E431" s="4"/>
      <c r="F431" s="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2.75" customHeight="1" x14ac:dyDescent="0.2">
      <c r="A432" s="2"/>
      <c r="B432" s="2"/>
      <c r="C432" s="2"/>
      <c r="D432" s="4"/>
      <c r="E432" s="4"/>
      <c r="F432" s="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2.75" customHeight="1" x14ac:dyDescent="0.2">
      <c r="A433" s="2"/>
      <c r="B433" s="2"/>
      <c r="C433" s="2"/>
      <c r="D433" s="4"/>
      <c r="E433" s="4"/>
      <c r="F433" s="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2.75" customHeight="1" x14ac:dyDescent="0.2">
      <c r="A434" s="2"/>
      <c r="B434" s="2"/>
      <c r="C434" s="2"/>
      <c r="D434" s="4"/>
      <c r="E434" s="4"/>
      <c r="F434" s="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2.75" customHeight="1" x14ac:dyDescent="0.2">
      <c r="A435" s="2"/>
      <c r="B435" s="2"/>
      <c r="C435" s="2"/>
      <c r="D435" s="4"/>
      <c r="E435" s="4"/>
      <c r="F435" s="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2.75" customHeight="1" x14ac:dyDescent="0.2">
      <c r="A436" s="2"/>
      <c r="B436" s="2"/>
      <c r="C436" s="2"/>
      <c r="D436" s="4"/>
      <c r="E436" s="4"/>
      <c r="F436" s="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2.75" customHeight="1" x14ac:dyDescent="0.2">
      <c r="A437" s="2"/>
      <c r="B437" s="2"/>
      <c r="C437" s="2"/>
      <c r="D437" s="4"/>
      <c r="E437" s="4"/>
      <c r="F437" s="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2.75" customHeight="1" x14ac:dyDescent="0.2">
      <c r="A438" s="2"/>
      <c r="B438" s="2"/>
      <c r="C438" s="2"/>
      <c r="D438" s="4"/>
      <c r="E438" s="4"/>
      <c r="F438" s="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2.75" customHeight="1" x14ac:dyDescent="0.2">
      <c r="A439" s="2"/>
      <c r="B439" s="2"/>
      <c r="C439" s="2"/>
      <c r="D439" s="4"/>
      <c r="E439" s="4"/>
      <c r="F439" s="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2.75" customHeight="1" x14ac:dyDescent="0.2">
      <c r="A440" s="2"/>
      <c r="B440" s="2"/>
      <c r="C440" s="2"/>
      <c r="D440" s="4"/>
      <c r="E440" s="4"/>
      <c r="F440" s="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2.75" customHeight="1" x14ac:dyDescent="0.2">
      <c r="A441" s="2"/>
      <c r="B441" s="2"/>
      <c r="C441" s="2"/>
      <c r="D441" s="4"/>
      <c r="E441" s="4"/>
      <c r="F441" s="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2.75" customHeight="1" x14ac:dyDescent="0.2">
      <c r="A442" s="2"/>
      <c r="B442" s="2"/>
      <c r="C442" s="2"/>
      <c r="D442" s="4"/>
      <c r="E442" s="4"/>
      <c r="F442" s="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2.75" customHeight="1" x14ac:dyDescent="0.2">
      <c r="A443" s="2"/>
      <c r="B443" s="2"/>
      <c r="C443" s="2"/>
      <c r="D443" s="4"/>
      <c r="E443" s="4"/>
      <c r="F443" s="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2.75" customHeight="1" x14ac:dyDescent="0.2">
      <c r="A444" s="2"/>
      <c r="B444" s="2"/>
      <c r="C444" s="2"/>
      <c r="D444" s="4"/>
      <c r="E444" s="4"/>
      <c r="F444" s="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2.75" customHeight="1" x14ac:dyDescent="0.2">
      <c r="A445" s="2"/>
      <c r="B445" s="2"/>
      <c r="C445" s="2"/>
      <c r="D445" s="4"/>
      <c r="E445" s="4"/>
      <c r="F445" s="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2.75" customHeight="1" x14ac:dyDescent="0.2">
      <c r="A446" s="2"/>
      <c r="B446" s="2"/>
      <c r="C446" s="2"/>
      <c r="D446" s="4"/>
      <c r="E446" s="4"/>
      <c r="F446" s="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2.75" customHeight="1" x14ac:dyDescent="0.2">
      <c r="A447" s="2"/>
      <c r="B447" s="2"/>
      <c r="C447" s="2"/>
      <c r="D447" s="4"/>
      <c r="E447" s="4"/>
      <c r="F447" s="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2.75" customHeight="1" x14ac:dyDescent="0.2">
      <c r="A448" s="2"/>
      <c r="B448" s="2"/>
      <c r="C448" s="2"/>
      <c r="D448" s="4"/>
      <c r="E448" s="4"/>
      <c r="F448" s="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2.75" customHeight="1" x14ac:dyDescent="0.2">
      <c r="A449" s="2"/>
      <c r="B449" s="2"/>
      <c r="C449" s="2"/>
      <c r="D449" s="4"/>
      <c r="E449" s="4"/>
      <c r="F449" s="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2.75" customHeight="1" x14ac:dyDescent="0.2">
      <c r="A450" s="2"/>
      <c r="B450" s="2"/>
      <c r="C450" s="2"/>
      <c r="D450" s="4"/>
      <c r="E450" s="4"/>
      <c r="F450" s="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2.75" customHeight="1" x14ac:dyDescent="0.2">
      <c r="A451" s="2"/>
      <c r="B451" s="2"/>
      <c r="C451" s="2"/>
      <c r="D451" s="4"/>
      <c r="E451" s="4"/>
      <c r="F451" s="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2.75" customHeight="1" x14ac:dyDescent="0.2">
      <c r="A452" s="2"/>
      <c r="B452" s="2"/>
      <c r="C452" s="2"/>
      <c r="D452" s="4"/>
      <c r="E452" s="4"/>
      <c r="F452" s="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2.75" customHeight="1" x14ac:dyDescent="0.2">
      <c r="A453" s="2"/>
      <c r="B453" s="2"/>
      <c r="C453" s="2"/>
      <c r="D453" s="4"/>
      <c r="E453" s="4"/>
      <c r="F453" s="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2.75" customHeight="1" x14ac:dyDescent="0.2">
      <c r="A454" s="2"/>
      <c r="B454" s="2"/>
      <c r="C454" s="2"/>
      <c r="D454" s="4"/>
      <c r="E454" s="4"/>
      <c r="F454" s="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2.75" customHeight="1" x14ac:dyDescent="0.2">
      <c r="A455" s="2"/>
      <c r="B455" s="2"/>
      <c r="C455" s="2"/>
      <c r="D455" s="4"/>
      <c r="E455" s="4"/>
      <c r="F455" s="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2.75" customHeight="1" x14ac:dyDescent="0.2">
      <c r="A456" s="2"/>
      <c r="B456" s="2"/>
      <c r="C456" s="2"/>
      <c r="D456" s="4"/>
      <c r="E456" s="4"/>
      <c r="F456" s="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2.75" customHeight="1" x14ac:dyDescent="0.2">
      <c r="A457" s="2"/>
      <c r="B457" s="2"/>
      <c r="C457" s="2"/>
      <c r="D457" s="4"/>
      <c r="E457" s="4"/>
      <c r="F457" s="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2.75" customHeight="1" x14ac:dyDescent="0.2">
      <c r="A458" s="2"/>
      <c r="B458" s="2"/>
      <c r="C458" s="2"/>
      <c r="D458" s="4"/>
      <c r="E458" s="4"/>
      <c r="F458" s="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2.75" customHeight="1" x14ac:dyDescent="0.2">
      <c r="A459" s="2"/>
      <c r="B459" s="2"/>
      <c r="C459" s="2"/>
      <c r="D459" s="4"/>
      <c r="E459" s="4"/>
      <c r="F459" s="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2.75" customHeight="1" x14ac:dyDescent="0.2">
      <c r="A460" s="2"/>
      <c r="B460" s="2"/>
      <c r="C460" s="2"/>
      <c r="D460" s="4"/>
      <c r="E460" s="4"/>
      <c r="F460" s="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2.75" customHeight="1" x14ac:dyDescent="0.2">
      <c r="A461" s="2"/>
      <c r="B461" s="2"/>
      <c r="C461" s="2"/>
      <c r="D461" s="4"/>
      <c r="E461" s="4"/>
      <c r="F461" s="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2.75" customHeight="1" x14ac:dyDescent="0.2">
      <c r="A462" s="2"/>
      <c r="B462" s="2"/>
      <c r="C462" s="2"/>
      <c r="D462" s="4"/>
      <c r="E462" s="4"/>
      <c r="F462" s="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2.75" customHeight="1" x14ac:dyDescent="0.2">
      <c r="A463" s="2"/>
      <c r="B463" s="2"/>
      <c r="C463" s="2"/>
      <c r="D463" s="4"/>
      <c r="E463" s="4"/>
      <c r="F463" s="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2.75" customHeight="1" x14ac:dyDescent="0.2">
      <c r="A464" s="2"/>
      <c r="B464" s="2"/>
      <c r="C464" s="2"/>
      <c r="D464" s="4"/>
      <c r="E464" s="4"/>
      <c r="F464" s="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2.75" customHeight="1" x14ac:dyDescent="0.2">
      <c r="A465" s="2"/>
      <c r="B465" s="2"/>
      <c r="C465" s="2"/>
      <c r="D465" s="4"/>
      <c r="E465" s="4"/>
      <c r="F465" s="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2.75" customHeight="1" x14ac:dyDescent="0.2">
      <c r="A466" s="2"/>
      <c r="B466" s="2"/>
      <c r="C466" s="2"/>
      <c r="D466" s="4"/>
      <c r="E466" s="4"/>
      <c r="F466" s="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2.75" customHeight="1" x14ac:dyDescent="0.2">
      <c r="A467" s="2"/>
      <c r="B467" s="2"/>
      <c r="C467" s="2"/>
      <c r="D467" s="4"/>
      <c r="E467" s="4"/>
      <c r="F467" s="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2.75" customHeight="1" x14ac:dyDescent="0.2">
      <c r="A468" s="2"/>
      <c r="B468" s="2"/>
      <c r="C468" s="2"/>
      <c r="D468" s="4"/>
      <c r="E468" s="4"/>
      <c r="F468" s="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2.75" customHeight="1" x14ac:dyDescent="0.2">
      <c r="A469" s="2"/>
      <c r="B469" s="2"/>
      <c r="C469" s="2"/>
      <c r="D469" s="4"/>
      <c r="E469" s="4"/>
      <c r="F469" s="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2.75" customHeight="1" x14ac:dyDescent="0.2">
      <c r="A470" s="2"/>
      <c r="B470" s="2"/>
      <c r="C470" s="2"/>
      <c r="D470" s="4"/>
      <c r="E470" s="4"/>
      <c r="F470" s="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2.75" customHeight="1" x14ac:dyDescent="0.2">
      <c r="A471" s="2"/>
      <c r="B471" s="2"/>
      <c r="C471" s="2"/>
      <c r="D471" s="4"/>
      <c r="E471" s="4"/>
      <c r="F471" s="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2.75" customHeight="1" x14ac:dyDescent="0.2">
      <c r="A472" s="2"/>
      <c r="B472" s="2"/>
      <c r="C472" s="2"/>
      <c r="D472" s="4"/>
      <c r="E472" s="4"/>
      <c r="F472" s="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2.75" customHeight="1" x14ac:dyDescent="0.2">
      <c r="A473" s="2"/>
      <c r="B473" s="2"/>
      <c r="C473" s="2"/>
      <c r="D473" s="4"/>
      <c r="E473" s="4"/>
      <c r="F473" s="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2.75" customHeight="1" x14ac:dyDescent="0.2">
      <c r="A474" s="2"/>
      <c r="B474" s="2"/>
      <c r="C474" s="2"/>
      <c r="D474" s="4"/>
      <c r="E474" s="4"/>
      <c r="F474" s="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2.75" customHeight="1" x14ac:dyDescent="0.2">
      <c r="A475" s="2"/>
      <c r="B475" s="2"/>
      <c r="C475" s="2"/>
      <c r="D475" s="4"/>
      <c r="E475" s="4"/>
      <c r="F475" s="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2.75" customHeight="1" x14ac:dyDescent="0.2">
      <c r="A476" s="2"/>
      <c r="B476" s="2"/>
      <c r="C476" s="2"/>
      <c r="D476" s="4"/>
      <c r="E476" s="4"/>
      <c r="F476" s="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2.75" customHeight="1" x14ac:dyDescent="0.2">
      <c r="A477" s="2"/>
      <c r="B477" s="2"/>
      <c r="C477" s="2"/>
      <c r="D477" s="4"/>
      <c r="E477" s="4"/>
      <c r="F477" s="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2.75" customHeight="1" x14ac:dyDescent="0.2">
      <c r="A478" s="2"/>
      <c r="B478" s="2"/>
      <c r="C478" s="2"/>
      <c r="D478" s="4"/>
      <c r="E478" s="4"/>
      <c r="F478" s="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2.75" customHeight="1" x14ac:dyDescent="0.2">
      <c r="A479" s="2"/>
      <c r="B479" s="2"/>
      <c r="C479" s="2"/>
      <c r="D479" s="4"/>
      <c r="E479" s="4"/>
      <c r="F479" s="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2.75" customHeight="1" x14ac:dyDescent="0.2">
      <c r="A480" s="2"/>
      <c r="B480" s="2"/>
      <c r="C480" s="2"/>
      <c r="D480" s="4"/>
      <c r="E480" s="4"/>
      <c r="F480" s="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2.75" customHeight="1" x14ac:dyDescent="0.2">
      <c r="A481" s="2"/>
      <c r="B481" s="2"/>
      <c r="C481" s="2"/>
      <c r="D481" s="4"/>
      <c r="E481" s="4"/>
      <c r="F481" s="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2.75" customHeight="1" x14ac:dyDescent="0.2">
      <c r="A482" s="2"/>
      <c r="B482" s="2"/>
      <c r="C482" s="2"/>
      <c r="D482" s="4"/>
      <c r="E482" s="4"/>
      <c r="F482" s="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2.75" customHeight="1" x14ac:dyDescent="0.2">
      <c r="A483" s="2"/>
      <c r="B483" s="2"/>
      <c r="C483" s="2"/>
      <c r="D483" s="4"/>
      <c r="E483" s="4"/>
      <c r="F483" s="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2.75" customHeight="1" x14ac:dyDescent="0.2">
      <c r="A484" s="2"/>
      <c r="B484" s="2"/>
      <c r="C484" s="2"/>
      <c r="D484" s="4"/>
      <c r="E484" s="4"/>
      <c r="F484" s="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2.75" customHeight="1" x14ac:dyDescent="0.2">
      <c r="A485" s="2"/>
      <c r="B485" s="2"/>
      <c r="C485" s="2"/>
      <c r="D485" s="4"/>
      <c r="E485" s="4"/>
      <c r="F485" s="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2.75" customHeight="1" x14ac:dyDescent="0.2">
      <c r="A486" s="2"/>
      <c r="B486" s="2"/>
      <c r="C486" s="2"/>
      <c r="D486" s="4"/>
      <c r="E486" s="4"/>
      <c r="F486" s="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2.75" customHeight="1" x14ac:dyDescent="0.2">
      <c r="A487" s="2"/>
      <c r="B487" s="2"/>
      <c r="C487" s="2"/>
      <c r="D487" s="4"/>
      <c r="E487" s="4"/>
      <c r="F487" s="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2.75" customHeight="1" x14ac:dyDescent="0.2">
      <c r="A488" s="2"/>
      <c r="B488" s="2"/>
      <c r="C488" s="2"/>
      <c r="D488" s="4"/>
      <c r="E488" s="4"/>
      <c r="F488" s="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2.75" customHeight="1" x14ac:dyDescent="0.2">
      <c r="A489" s="2"/>
      <c r="B489" s="2"/>
      <c r="C489" s="2"/>
      <c r="D489" s="4"/>
      <c r="E489" s="4"/>
      <c r="F489" s="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2.75" customHeight="1" x14ac:dyDescent="0.2">
      <c r="A490" s="2"/>
      <c r="B490" s="2"/>
      <c r="C490" s="2"/>
      <c r="D490" s="4"/>
      <c r="E490" s="4"/>
      <c r="F490" s="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 x14ac:dyDescent="0.2"/>
    <row r="492" spans="1:20" ht="15.75" customHeight="1" x14ac:dyDescent="0.2"/>
    <row r="493" spans="1:20" ht="15.75" customHeight="1" x14ac:dyDescent="0.2"/>
    <row r="494" spans="1:20" ht="15.75" customHeight="1" x14ac:dyDescent="0.2"/>
    <row r="495" spans="1:20" ht="15.75" customHeight="1" x14ac:dyDescent="0.2"/>
    <row r="496" spans="1:20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</sheetData>
  <mergeCells count="9">
    <mergeCell ref="A12:C12"/>
    <mergeCell ref="A292:D292"/>
    <mergeCell ref="A2:F2"/>
    <mergeCell ref="A3:F3"/>
    <mergeCell ref="A5:F5"/>
    <mergeCell ref="A33:E33"/>
    <mergeCell ref="A34:D34"/>
    <mergeCell ref="A39:D39"/>
    <mergeCell ref="A41:D41"/>
  </mergeCells>
  <hyperlinks>
    <hyperlink ref="A15" location="Google_Sheet_Link_283154434" display="     3.1.1. Depreciação     "/>
    <hyperlink ref="A16" location="Google_Sheet_Link_607211784" display="     3.1.2. Remuneração do Capital     "/>
    <hyperlink ref="A23" location="Google_Sheet_Link_283154434" display=" 3.2.1. Depreciação "/>
    <hyperlink ref="A108" location="Google_Sheet_Link_283154434" display="3.1.1. Depreciação"/>
    <hyperlink ref="A124" location="Google_Sheet_Link_607211784" display="3.1.2. Remuneração do Capital"/>
    <hyperlink ref="A187" location="Google_Sheet_Link_283154434" display="3.2.1. Depreciação"/>
    <hyperlink ref="A203" location="Google_Sheet_Link_607211784" display="3.2.2. Remuneração do Capital"/>
  </hyperlinks>
  <pageMargins left="0.9055118110236221" right="0.51181102362204722" top="0.74803149606299213" bottom="0.74803149606299213" header="0" footer="0"/>
  <pageSetup paperSize="9" fitToHeight="0" orientation="portrait"/>
  <headerFooter>
    <oddFooter>&amp;R&amp;P de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/>
  </sheetViews>
  <sheetFormatPr defaultColWidth="12.5703125" defaultRowHeight="15" customHeight="1" x14ac:dyDescent="0.2"/>
  <cols>
    <col min="1" max="1" width="13.5703125" customWidth="1"/>
    <col min="2" max="2" width="39.5703125" customWidth="1"/>
    <col min="3" max="3" width="14.5703125" customWidth="1"/>
    <col min="4" max="4" width="37.28515625" customWidth="1"/>
    <col min="5" max="10" width="9.140625" customWidth="1"/>
    <col min="11" max="11" width="11" customWidth="1"/>
    <col min="12" max="23" width="9.140625" customWidth="1"/>
  </cols>
  <sheetData>
    <row r="1" spans="1:23" ht="16.5" customHeight="1" x14ac:dyDescent="0.2">
      <c r="A1" s="208"/>
      <c r="B1" s="3"/>
      <c r="C1" s="3"/>
      <c r="D1" s="4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75" customHeight="1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2.75" customHeight="1" x14ac:dyDescent="0.2">
      <c r="A3" s="327" t="s">
        <v>183</v>
      </c>
      <c r="B3" s="328"/>
      <c r="C3" s="329"/>
      <c r="D3" s="209"/>
      <c r="E3" s="209"/>
      <c r="F3" s="209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12.75" customHeight="1" x14ac:dyDescent="0.2">
      <c r="A4" s="210" t="s">
        <v>184</v>
      </c>
      <c r="B4" s="211" t="s">
        <v>185</v>
      </c>
      <c r="C4" s="212" t="s">
        <v>186</v>
      </c>
      <c r="D4" s="21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12.75" customHeight="1" x14ac:dyDescent="0.2">
      <c r="A5" s="210" t="s">
        <v>187</v>
      </c>
      <c r="B5" s="211" t="s">
        <v>188</v>
      </c>
      <c r="C5" s="214">
        <v>0.2</v>
      </c>
      <c r="D5" s="21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ht="12.75" customHeight="1" x14ac:dyDescent="0.2">
      <c r="A6" s="210" t="s">
        <v>189</v>
      </c>
      <c r="B6" s="211" t="s">
        <v>190</v>
      </c>
      <c r="C6" s="214">
        <v>1.4999999999999999E-2</v>
      </c>
      <c r="D6" s="21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 ht="12.75" customHeight="1" x14ac:dyDescent="0.2">
      <c r="A7" s="210" t="s">
        <v>191</v>
      </c>
      <c r="B7" s="211" t="s">
        <v>192</v>
      </c>
      <c r="C7" s="214">
        <v>0.01</v>
      </c>
      <c r="D7" s="21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 ht="12.75" customHeight="1" x14ac:dyDescent="0.2">
      <c r="A8" s="210" t="s">
        <v>193</v>
      </c>
      <c r="B8" s="211" t="s">
        <v>194</v>
      </c>
      <c r="C8" s="214">
        <v>2E-3</v>
      </c>
      <c r="D8" s="21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 ht="12.75" customHeight="1" x14ac:dyDescent="0.2">
      <c r="A9" s="210" t="s">
        <v>195</v>
      </c>
      <c r="B9" s="211" t="s">
        <v>196</v>
      </c>
      <c r="C9" s="214">
        <v>6.0000000000000001E-3</v>
      </c>
      <c r="D9" s="21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 ht="12.75" customHeight="1" x14ac:dyDescent="0.2">
      <c r="A10" s="210" t="s">
        <v>197</v>
      </c>
      <c r="B10" s="211" t="s">
        <v>198</v>
      </c>
      <c r="C10" s="214">
        <v>2.5000000000000001E-2</v>
      </c>
      <c r="D10" s="21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 ht="12.75" customHeight="1" x14ac:dyDescent="0.2">
      <c r="A11" s="210" t="s">
        <v>199</v>
      </c>
      <c r="B11" s="211" t="s">
        <v>200</v>
      </c>
      <c r="C11" s="214">
        <v>0.03</v>
      </c>
      <c r="D11" s="21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 ht="12.75" customHeight="1" x14ac:dyDescent="0.2">
      <c r="A12" s="210" t="s">
        <v>201</v>
      </c>
      <c r="B12" s="211" t="s">
        <v>202</v>
      </c>
      <c r="C12" s="214">
        <v>0.08</v>
      </c>
      <c r="D12" s="21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 ht="12.75" customHeight="1" x14ac:dyDescent="0.2">
      <c r="A13" s="210" t="s">
        <v>203</v>
      </c>
      <c r="B13" s="215" t="s">
        <v>204</v>
      </c>
      <c r="C13" s="216">
        <f>SUM(C5:C12)</f>
        <v>0.36800000000000005</v>
      </c>
      <c r="D13" s="21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 ht="12.75" customHeight="1" x14ac:dyDescent="0.2">
      <c r="A14" s="217"/>
      <c r="B14" s="218"/>
      <c r="C14" s="219"/>
      <c r="D14" s="21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 ht="12.75" customHeight="1" x14ac:dyDescent="0.2">
      <c r="A15" s="210" t="s">
        <v>205</v>
      </c>
      <c r="B15" s="220" t="s">
        <v>206</v>
      </c>
      <c r="C15" s="214">
        <f>ROUND(IF('3.CAGED'!C25&gt;24,(1-12/'3.CAGED'!C25)*0.1111,0.1111-C24),4)</f>
        <v>6.5699999999999995E-2</v>
      </c>
      <c r="D15" s="21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 ht="12.75" customHeight="1" x14ac:dyDescent="0.2">
      <c r="A16" s="210" t="s">
        <v>207</v>
      </c>
      <c r="B16" s="220" t="s">
        <v>208</v>
      </c>
      <c r="C16" s="214">
        <f>ROUND('3.CAGED'!C29/'3.CAGED'!C26,4)</f>
        <v>8.3299999999999999E-2</v>
      </c>
      <c r="D16" s="21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 ht="12.75" customHeight="1" x14ac:dyDescent="0.2">
      <c r="A17" s="210" t="s">
        <v>209</v>
      </c>
      <c r="B17" s="220" t="s">
        <v>210</v>
      </c>
      <c r="C17" s="214">
        <v>5.9999999999999995E-4</v>
      </c>
      <c r="D17" s="21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 ht="12.75" customHeight="1" x14ac:dyDescent="0.2">
      <c r="A18" s="210" t="s">
        <v>211</v>
      </c>
      <c r="B18" s="220" t="s">
        <v>212</v>
      </c>
      <c r="C18" s="214">
        <v>8.2000000000000007E-3</v>
      </c>
      <c r="D18" s="21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ht="12.75" customHeight="1" x14ac:dyDescent="0.2">
      <c r="A19" s="210" t="s">
        <v>213</v>
      </c>
      <c r="B19" s="220" t="s">
        <v>214</v>
      </c>
      <c r="C19" s="214">
        <v>3.0999999999999999E-3</v>
      </c>
      <c r="D19" s="21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 ht="12.75" customHeight="1" x14ac:dyDescent="0.2">
      <c r="A20" s="210" t="s">
        <v>215</v>
      </c>
      <c r="B20" s="220" t="s">
        <v>216</v>
      </c>
      <c r="C20" s="214">
        <v>1.66E-2</v>
      </c>
      <c r="D20" s="21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 ht="12.75" customHeight="1" x14ac:dyDescent="0.2">
      <c r="A21" s="210" t="s">
        <v>217</v>
      </c>
      <c r="B21" s="215" t="s">
        <v>218</v>
      </c>
      <c r="C21" s="216">
        <f>SUM(C15:C20)</f>
        <v>0.17749999999999999</v>
      </c>
      <c r="D21" s="221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 ht="12.75" customHeight="1" x14ac:dyDescent="0.2">
      <c r="A22" s="217"/>
      <c r="B22" s="218"/>
      <c r="C22" s="219"/>
      <c r="D22" s="221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 ht="12.75" customHeight="1" x14ac:dyDescent="0.2">
      <c r="A23" s="210" t="s">
        <v>219</v>
      </c>
      <c r="B23" s="211" t="s">
        <v>220</v>
      </c>
      <c r="C23" s="214">
        <f>ROUND(('3.CAGED'!C30) *'3.CAGED'!C23/'3.CAGED'!C26,4)</f>
        <v>2.9000000000000001E-2</v>
      </c>
      <c r="D23" s="213"/>
      <c r="E23" s="22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</row>
    <row r="24" spans="1:23" ht="12.75" customHeight="1" x14ac:dyDescent="0.2">
      <c r="A24" s="210" t="s">
        <v>221</v>
      </c>
      <c r="B24" s="211" t="s">
        <v>222</v>
      </c>
      <c r="C24" s="214">
        <f>ROUND(IF('3.CAGED'!C25&gt;12,12/'3.CAGED'!C25*0.1111,0.1111),4)</f>
        <v>4.5400000000000003E-2</v>
      </c>
      <c r="D24" s="213"/>
      <c r="E24" s="123"/>
      <c r="F24" s="123"/>
      <c r="G24" s="123"/>
      <c r="H24" s="2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</row>
    <row r="25" spans="1:23" ht="12.75" customHeight="1" x14ac:dyDescent="0.2">
      <c r="A25" s="210" t="s">
        <v>223</v>
      </c>
      <c r="B25" s="211" t="s">
        <v>224</v>
      </c>
      <c r="C25" s="214">
        <f>C23*C24</f>
        <v>1.3166000000000002E-3</v>
      </c>
      <c r="D25" s="213"/>
      <c r="E25" s="22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  <row r="26" spans="1:23" ht="12.75" customHeight="1" x14ac:dyDescent="0.2">
      <c r="A26" s="210" t="s">
        <v>225</v>
      </c>
      <c r="B26" s="211" t="s">
        <v>226</v>
      </c>
      <c r="C26" s="214">
        <f>ROUND(('3.CAGED'!C26+'3.CAGED'!C27+'3.CAGED'!C29)/'3.CAGED'!C24*'3.CAGED'!C31*'3.CAGED'!C32*'3.CAGED'!C23/'3.CAGED'!C26,4)</f>
        <v>2.52E-2</v>
      </c>
      <c r="D26" s="213"/>
      <c r="E26" s="123"/>
      <c r="F26" s="123"/>
      <c r="G26" s="222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</row>
    <row r="27" spans="1:23" ht="12.75" customHeight="1" x14ac:dyDescent="0.2">
      <c r="A27" s="210" t="s">
        <v>227</v>
      </c>
      <c r="B27" s="211" t="s">
        <v>228</v>
      </c>
      <c r="C27" s="214">
        <f>ROUND(('3.CAGED'!C28/'3.CAGED'!C26)*'3.CAGED'!C23/12,4)</f>
        <v>2E-3</v>
      </c>
      <c r="D27" s="21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 ht="12.75" customHeight="1" x14ac:dyDescent="0.2">
      <c r="A28" s="210" t="s">
        <v>229</v>
      </c>
      <c r="B28" s="215" t="s">
        <v>230</v>
      </c>
      <c r="C28" s="216">
        <f>SUM(C23:C27)</f>
        <v>0.10291660000000001</v>
      </c>
      <c r="D28" s="221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 ht="12.75" customHeight="1" x14ac:dyDescent="0.2">
      <c r="A29" s="217"/>
      <c r="B29" s="218"/>
      <c r="C29" s="219"/>
      <c r="D29" s="221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 ht="12.75" customHeight="1" x14ac:dyDescent="0.2">
      <c r="A30" s="210" t="s">
        <v>231</v>
      </c>
      <c r="B30" s="211" t="s">
        <v>232</v>
      </c>
      <c r="C30" s="214">
        <f>ROUND(C13*C21,4)</f>
        <v>6.5299999999999997E-2</v>
      </c>
      <c r="D30" s="21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  <row r="31" spans="1:23" ht="12.75" customHeight="1" x14ac:dyDescent="0.2">
      <c r="A31" s="210" t="s">
        <v>233</v>
      </c>
      <c r="B31" s="224" t="s">
        <v>234</v>
      </c>
      <c r="C31" s="214">
        <f>ROUND((C23*C12),4)</f>
        <v>2.3E-3</v>
      </c>
      <c r="D31" s="21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</row>
    <row r="32" spans="1:23" ht="12.75" customHeight="1" x14ac:dyDescent="0.2">
      <c r="A32" s="210" t="s">
        <v>235</v>
      </c>
      <c r="B32" s="215" t="s">
        <v>236</v>
      </c>
      <c r="C32" s="216">
        <f>SUM(C30:C31)</f>
        <v>6.7599999999999993E-2</v>
      </c>
      <c r="D32" s="221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</row>
    <row r="33" spans="1:23" ht="12.75" customHeight="1" x14ac:dyDescent="0.2">
      <c r="A33" s="225"/>
      <c r="B33" s="226" t="s">
        <v>237</v>
      </c>
      <c r="C33" s="227">
        <f>C32+C28+C21+C13</f>
        <v>0.71601660000000011</v>
      </c>
      <c r="D33" s="221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</row>
    <row r="34" spans="1:23" ht="12.75" customHeight="1" x14ac:dyDescent="0.2">
      <c r="A34" s="213"/>
      <c r="B34" s="228"/>
      <c r="C34" s="229"/>
      <c r="D34" s="230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</row>
    <row r="35" spans="1:23" ht="12.75" customHeight="1" x14ac:dyDescent="0.2">
      <c r="A35" s="213"/>
      <c r="B35" s="213"/>
      <c r="C35" s="231"/>
      <c r="D35" s="23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</row>
    <row r="36" spans="1:23" ht="12.75" customHeight="1" x14ac:dyDescent="0.2">
      <c r="A36" s="213"/>
      <c r="B36" s="213"/>
      <c r="C36" s="231"/>
      <c r="D36" s="21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</row>
    <row r="37" spans="1:23" ht="12.75" customHeight="1" x14ac:dyDescent="0.2">
      <c r="A37" s="213"/>
      <c r="B37" s="213"/>
      <c r="C37" s="231"/>
      <c r="D37" s="21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</row>
    <row r="38" spans="1:23" ht="12.75" customHeight="1" x14ac:dyDescent="0.2">
      <c r="A38" s="213"/>
      <c r="B38" s="213"/>
      <c r="C38" s="231"/>
      <c r="D38" s="21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</row>
    <row r="39" spans="1:23" ht="12.75" customHeight="1" x14ac:dyDescent="0.2">
      <c r="A39" s="213"/>
      <c r="B39" s="228"/>
      <c r="C39" s="229"/>
      <c r="D39" s="21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</row>
    <row r="40" spans="1:23" ht="12.75" customHeight="1" x14ac:dyDescent="0.2">
      <c r="A40" s="221"/>
      <c r="B40" s="228"/>
      <c r="C40" s="229"/>
      <c r="D40" s="221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</row>
    <row r="41" spans="1:23" ht="12.75" customHeight="1" x14ac:dyDescent="0.2">
      <c r="A41" s="23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</row>
    <row r="42" spans="1:23" ht="12.75" customHeight="1" x14ac:dyDescent="0.2">
      <c r="A42" s="234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</row>
    <row r="43" spans="1:23" ht="12.75" customHeight="1" x14ac:dyDescent="0.2">
      <c r="A43" s="213"/>
      <c r="B43" s="235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</row>
    <row r="44" spans="1:23" ht="12.75" customHeight="1" x14ac:dyDescent="0.2">
      <c r="A44" s="213"/>
      <c r="B44" s="235"/>
      <c r="C44" s="21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</row>
    <row r="45" spans="1:23" ht="12.75" customHeight="1" x14ac:dyDescent="0.2">
      <c r="A45" s="213"/>
      <c r="B45" s="231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</row>
    <row r="46" spans="1:23" ht="12.75" customHeight="1" x14ac:dyDescent="0.2">
      <c r="A46" s="213"/>
      <c r="B46" s="235"/>
      <c r="C46" s="21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</row>
    <row r="47" spans="1:23" ht="12.75" customHeight="1" x14ac:dyDescent="0.2">
      <c r="A47" s="213"/>
      <c r="B47" s="231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</row>
    <row r="48" spans="1:23" ht="12.75" customHeight="1" x14ac:dyDescent="0.2">
      <c r="A48" s="213"/>
      <c r="B48" s="235"/>
      <c r="C48" s="21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</row>
    <row r="49" spans="1:23" ht="12.75" customHeight="1" x14ac:dyDescent="0.2">
      <c r="A49" s="213"/>
      <c r="B49" s="231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</row>
    <row r="50" spans="1:23" ht="12.75" customHeight="1" x14ac:dyDescent="0.2">
      <c r="A50" s="213"/>
      <c r="B50" s="235"/>
      <c r="C50" s="21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</row>
    <row r="51" spans="1:23" ht="12.75" customHeight="1" x14ac:dyDescent="0.2">
      <c r="A51" s="213"/>
      <c r="B51" s="231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</row>
    <row r="52" spans="1:23" ht="12.75" customHeight="1" x14ac:dyDescent="0.2">
      <c r="A52" s="23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</row>
    <row r="53" spans="1:23" ht="12.7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</row>
    <row r="54" spans="1:23" ht="12.75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</row>
    <row r="55" spans="1:23" ht="12.75" customHeight="1" x14ac:dyDescent="0.2">
      <c r="A55" s="131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</row>
    <row r="56" spans="1:23" ht="12.7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</row>
    <row r="57" spans="1:23" ht="12.75" customHeight="1" x14ac:dyDescent="0.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</row>
    <row r="58" spans="1:23" ht="12.75" customHeigh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</row>
    <row r="59" spans="1:23" ht="12.75" customHeight="1" x14ac:dyDescent="0.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</row>
    <row r="60" spans="1:23" ht="12.75" customHeight="1" x14ac:dyDescent="0.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</row>
    <row r="61" spans="1:23" ht="12.75" customHeigh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</row>
    <row r="62" spans="1:23" ht="12.75" customHeight="1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</row>
    <row r="63" spans="1:23" ht="12.75" customHeight="1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</row>
    <row r="64" spans="1:23" ht="12.75" customHeigh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1:23" ht="12.75" customHeigh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1:23" ht="12.75" customHeigh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1:23" ht="12.75" customHeigh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</row>
    <row r="68" spans="1:23" ht="12.75" customHeigh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</row>
    <row r="69" spans="1:23" ht="12.75" customHeigh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</row>
    <row r="70" spans="1:23" ht="12.75" customHeigh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</row>
    <row r="71" spans="1:23" ht="12.75" customHeigh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</row>
    <row r="72" spans="1:23" ht="12.75" customHeigh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</row>
    <row r="73" spans="1:23" ht="12.75" customHeigh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4" spans="1:23" ht="12.75" customHeigh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</row>
    <row r="75" spans="1:23" ht="12.75" customHeigh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</row>
    <row r="76" spans="1:23" ht="12.75" customHeigh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</row>
    <row r="77" spans="1:23" ht="12.75" customHeight="1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</row>
    <row r="78" spans="1:23" ht="12.75" customHeight="1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</row>
    <row r="79" spans="1:23" ht="12.75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</row>
    <row r="80" spans="1:23" ht="12.75" customHeight="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</row>
    <row r="81" spans="1:23" ht="12.75" customHeigh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</row>
    <row r="82" spans="1:23" ht="12.75" customHeigh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</row>
    <row r="83" spans="1:23" ht="12.75" customHeigh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</row>
    <row r="84" spans="1:23" ht="12.75" customHeigh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</row>
    <row r="85" spans="1:23" ht="12.75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</row>
    <row r="86" spans="1:23" ht="12.75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</row>
    <row r="87" spans="1:23" ht="12.75" customHeight="1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</row>
    <row r="88" spans="1:23" ht="12.75" customHeigh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</row>
    <row r="89" spans="1:23" ht="12.75" customHeigh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</row>
    <row r="90" spans="1:23" ht="12.75" customHeight="1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</row>
    <row r="91" spans="1:23" ht="12.75" customHeight="1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</row>
    <row r="92" spans="1:23" ht="12.75" customHeight="1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</row>
    <row r="93" spans="1:23" ht="12.75" customHeight="1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</row>
    <row r="94" spans="1:23" ht="12.75" customHeigh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</row>
    <row r="95" spans="1:23" ht="12.75" customHeight="1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</row>
    <row r="96" spans="1:23" ht="12.75" customHeight="1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</row>
    <row r="97" spans="1:23" ht="12.75" customHeight="1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</row>
    <row r="98" spans="1:23" ht="12.75" customHeight="1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</row>
    <row r="99" spans="1:23" ht="12.75" customHeight="1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</row>
    <row r="100" spans="1:23" ht="12.75" customHeight="1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</row>
    <row r="101" spans="1:23" ht="12.75" customHeight="1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</row>
    <row r="102" spans="1:23" ht="12.75" customHeight="1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</row>
    <row r="103" spans="1:23" ht="12.75" customHeight="1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</row>
    <row r="104" spans="1:23" ht="12.75" customHeight="1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</row>
    <row r="105" spans="1:23" ht="12.75" customHeight="1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</row>
    <row r="106" spans="1:23" ht="12.75" customHeight="1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</row>
    <row r="107" spans="1:23" ht="12.75" customHeight="1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</row>
    <row r="108" spans="1:23" ht="12.75" customHeight="1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</row>
    <row r="109" spans="1:23" ht="12.75" customHeight="1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</row>
    <row r="110" spans="1:23" ht="12.75" customHeight="1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</row>
    <row r="111" spans="1:23" ht="12.75" customHeight="1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</row>
    <row r="112" spans="1:23" ht="12.75" customHeight="1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</row>
    <row r="113" spans="1:23" ht="12.75" customHeight="1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</row>
    <row r="114" spans="1:23" ht="12.75" customHeight="1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</row>
    <row r="115" spans="1:23" ht="12.75" customHeight="1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</row>
    <row r="116" spans="1:23" ht="12.75" customHeight="1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</row>
    <row r="117" spans="1:23" ht="12.75" customHeight="1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</row>
    <row r="118" spans="1:23" ht="12.75" customHeight="1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</row>
    <row r="119" spans="1:23" ht="12.7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</row>
    <row r="120" spans="1:23" ht="12.75" customHeight="1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</row>
    <row r="121" spans="1:23" ht="12.75" customHeight="1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</row>
    <row r="122" spans="1:23" ht="12.75" customHeight="1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</row>
    <row r="123" spans="1:23" ht="12.75" customHeight="1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</row>
    <row r="124" spans="1:23" ht="12.75" customHeight="1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</row>
    <row r="125" spans="1:23" ht="12.75" customHeight="1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</row>
    <row r="126" spans="1:23" ht="12.75" customHeight="1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</row>
    <row r="127" spans="1:23" ht="12.75" customHeight="1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</row>
    <row r="128" spans="1:23" ht="12.75" customHeight="1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</row>
    <row r="129" spans="1:23" ht="12.75" customHeight="1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</row>
    <row r="130" spans="1:23" ht="12.75" customHeight="1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</row>
    <row r="131" spans="1:23" ht="12.75" customHeight="1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</row>
    <row r="132" spans="1:23" ht="12.75" customHeight="1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</row>
    <row r="133" spans="1:23" ht="12.75" customHeight="1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</row>
    <row r="134" spans="1:23" ht="12.75" customHeight="1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</row>
    <row r="135" spans="1:23" ht="12.75" customHeight="1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</row>
    <row r="136" spans="1:23" ht="12.75" customHeight="1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</row>
    <row r="137" spans="1:23" ht="12.75" customHeight="1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</row>
    <row r="138" spans="1:23" ht="12.75" customHeight="1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</row>
    <row r="139" spans="1:23" ht="12.75" customHeight="1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</row>
    <row r="140" spans="1:23" ht="12.75" customHeight="1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</row>
    <row r="141" spans="1:23" ht="12.75" customHeight="1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</row>
    <row r="142" spans="1:23" ht="12.75" customHeight="1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</row>
    <row r="143" spans="1:23" ht="12.75" customHeight="1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</row>
    <row r="144" spans="1:23" ht="12.75" customHeight="1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</row>
    <row r="145" spans="1:23" ht="12.75" customHeight="1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</row>
    <row r="146" spans="1:23" ht="12.75" customHeight="1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</row>
    <row r="147" spans="1:23" ht="12.75" customHeight="1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</row>
    <row r="148" spans="1:23" ht="12.7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</row>
    <row r="149" spans="1:23" ht="12.75" customHeight="1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</row>
    <row r="150" spans="1:23" ht="12.75" customHeight="1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</row>
    <row r="151" spans="1:23" ht="12.75" customHeight="1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</row>
    <row r="152" spans="1:23" ht="12.75" customHeight="1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</row>
    <row r="153" spans="1:23" ht="12.75" customHeight="1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</row>
    <row r="154" spans="1:23" ht="12.75" customHeight="1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</row>
    <row r="155" spans="1:23" ht="12.75" customHeight="1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</row>
    <row r="156" spans="1:23" ht="12.75" customHeight="1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</row>
    <row r="157" spans="1:23" ht="12.75" customHeight="1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</row>
    <row r="158" spans="1:23" ht="12.75" customHeight="1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</row>
    <row r="159" spans="1:23" ht="12.75" customHeight="1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</row>
    <row r="160" spans="1:23" ht="12.75" customHeight="1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</row>
    <row r="161" spans="1:23" ht="12.75" customHeight="1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</row>
    <row r="162" spans="1:23" ht="12.75" customHeight="1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</row>
    <row r="163" spans="1:23" ht="12.75" customHeight="1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</row>
    <row r="164" spans="1:23" ht="12.75" customHeight="1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</row>
    <row r="165" spans="1:23" ht="12.75" customHeight="1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</row>
    <row r="166" spans="1:23" ht="12.75" customHeight="1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</row>
    <row r="167" spans="1:23" ht="12.75" customHeight="1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</row>
    <row r="168" spans="1:23" ht="12.75" customHeight="1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</row>
    <row r="169" spans="1:23" ht="12.75" customHeight="1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</row>
    <row r="170" spans="1:23" ht="12.75" customHeight="1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</row>
    <row r="171" spans="1:23" ht="12.75" customHeight="1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</row>
    <row r="172" spans="1:23" ht="12.75" customHeight="1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</row>
    <row r="173" spans="1:23" ht="12.75" customHeight="1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</row>
    <row r="174" spans="1:23" ht="12.75" customHeight="1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</row>
    <row r="175" spans="1:23" ht="12.75" customHeight="1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</row>
    <row r="176" spans="1:23" ht="12.75" customHeight="1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</row>
    <row r="177" spans="1:23" ht="12.7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</row>
    <row r="178" spans="1:23" ht="12.75" customHeight="1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</row>
    <row r="179" spans="1:23" ht="12.75" customHeight="1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</row>
    <row r="180" spans="1:23" ht="12.75" customHeight="1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</row>
    <row r="181" spans="1:23" ht="12.75" customHeight="1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</row>
    <row r="182" spans="1:23" ht="12.75" customHeight="1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</row>
    <row r="183" spans="1:23" ht="12.75" customHeight="1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</row>
    <row r="184" spans="1:23" ht="12.75" customHeight="1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</row>
    <row r="185" spans="1:23" ht="12.75" customHeight="1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</row>
    <row r="186" spans="1:23" ht="12.75" customHeight="1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</row>
    <row r="187" spans="1:23" ht="12.75" customHeight="1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</row>
    <row r="188" spans="1:23" ht="12.75" customHeight="1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</row>
    <row r="189" spans="1:23" ht="12.75" customHeight="1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</row>
    <row r="190" spans="1:23" ht="12.75" customHeight="1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</row>
    <row r="191" spans="1:23" ht="12.75" customHeight="1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</row>
    <row r="192" spans="1:23" ht="12.75" customHeight="1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</row>
    <row r="193" spans="1:23" ht="12.75" customHeight="1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</row>
    <row r="194" spans="1:23" ht="12.75" customHeight="1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</row>
    <row r="195" spans="1:23" ht="12.75" customHeight="1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</row>
    <row r="196" spans="1:23" ht="12.75" customHeight="1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</row>
    <row r="197" spans="1:23" ht="12.75" customHeight="1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</row>
    <row r="198" spans="1:23" ht="12.75" customHeight="1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</row>
    <row r="199" spans="1:23" ht="12.75" customHeight="1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</row>
    <row r="200" spans="1:23" ht="12.75" customHeight="1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</row>
    <row r="201" spans="1:23" ht="12.75" customHeight="1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</row>
    <row r="202" spans="1:23" ht="12.75" customHeight="1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</row>
    <row r="203" spans="1:23" ht="12.75" customHeight="1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</row>
    <row r="204" spans="1:23" ht="12.75" customHeight="1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</row>
    <row r="205" spans="1:23" ht="12.75" customHeight="1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</row>
    <row r="206" spans="1:23" ht="12.7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</row>
    <row r="207" spans="1:23" ht="12.75" customHeight="1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</row>
    <row r="208" spans="1:23" ht="12.75" customHeight="1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</row>
    <row r="209" spans="1:23" ht="12.75" customHeight="1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</row>
    <row r="210" spans="1:23" ht="12.75" customHeight="1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</row>
    <row r="211" spans="1:23" ht="12.75" customHeight="1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</row>
    <row r="212" spans="1:23" ht="12.75" customHeight="1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</row>
    <row r="213" spans="1:23" ht="12.75" customHeight="1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</row>
    <row r="214" spans="1:23" ht="12.75" customHeight="1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</row>
    <row r="215" spans="1:23" ht="12.75" customHeight="1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</row>
    <row r="216" spans="1:23" ht="12.75" customHeight="1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</row>
    <row r="217" spans="1:23" ht="12.75" customHeight="1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</row>
    <row r="218" spans="1:23" ht="12.75" customHeight="1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</row>
    <row r="219" spans="1:23" ht="12.75" customHeight="1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</row>
    <row r="220" spans="1:23" ht="12.75" customHeight="1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</row>
    <row r="221" spans="1:23" ht="12.75" customHeight="1" x14ac:dyDescent="0.2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</row>
    <row r="222" spans="1:23" ht="12.75" customHeight="1" x14ac:dyDescent="0.2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</row>
    <row r="223" spans="1:23" ht="12.75" customHeight="1" x14ac:dyDescent="0.2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</row>
    <row r="224" spans="1:23" ht="12.75" customHeight="1" x14ac:dyDescent="0.2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</row>
    <row r="225" spans="1:23" ht="12.75" customHeight="1" x14ac:dyDescent="0.2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</row>
    <row r="226" spans="1:23" ht="12.75" customHeight="1" x14ac:dyDescent="0.2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</row>
    <row r="227" spans="1:23" ht="12.75" customHeight="1" x14ac:dyDescent="0.2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</row>
    <row r="228" spans="1:23" ht="12.75" customHeight="1" x14ac:dyDescent="0.2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</row>
    <row r="229" spans="1:23" ht="12.75" customHeight="1" x14ac:dyDescent="0.2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</row>
    <row r="230" spans="1:23" ht="12.75" customHeight="1" x14ac:dyDescent="0.2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</row>
    <row r="231" spans="1:23" ht="12.75" customHeight="1" x14ac:dyDescent="0.2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</row>
    <row r="232" spans="1:23" ht="12.75" customHeight="1" x14ac:dyDescent="0.2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</row>
    <row r="233" spans="1:23" ht="12.75" customHeight="1" x14ac:dyDescent="0.2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</row>
    <row r="234" spans="1:23" ht="15.75" customHeight="1" x14ac:dyDescent="0.2"/>
    <row r="235" spans="1:23" ht="15.75" customHeight="1" x14ac:dyDescent="0.2"/>
    <row r="236" spans="1:23" ht="15.75" customHeight="1" x14ac:dyDescent="0.2"/>
    <row r="237" spans="1:23" ht="15.75" customHeight="1" x14ac:dyDescent="0.2"/>
    <row r="238" spans="1:23" ht="15.75" customHeight="1" x14ac:dyDescent="0.2"/>
    <row r="239" spans="1:23" ht="15.75" customHeight="1" x14ac:dyDescent="0.2"/>
    <row r="240" spans="1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:C3"/>
  </mergeCells>
  <pageMargins left="0.90551181102362199" right="0.5118110236220472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/>
  </sheetViews>
  <sheetFormatPr defaultColWidth="12.5703125" defaultRowHeight="15" customHeight="1" x14ac:dyDescent="0.2"/>
  <cols>
    <col min="1" max="1" width="8.5703125" customWidth="1"/>
    <col min="2" max="2" width="67.140625" customWidth="1"/>
    <col min="3" max="3" width="13.7109375" customWidth="1"/>
    <col min="4" max="4" width="10.28515625" customWidth="1"/>
    <col min="5" max="5" width="13.7109375" customWidth="1"/>
    <col min="6" max="23" width="9.140625" customWidth="1"/>
  </cols>
  <sheetData>
    <row r="1" spans="1:23" ht="12.75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ht="12.75" customHeight="1" x14ac:dyDescent="0.2">
      <c r="A2" s="236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ht="12.75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12.75" customHeight="1" x14ac:dyDescent="0.25">
      <c r="A4" s="123"/>
      <c r="B4" s="330" t="s">
        <v>238</v>
      </c>
      <c r="C4" s="329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12.75" customHeight="1" x14ac:dyDescent="0.25">
      <c r="A5" s="123"/>
      <c r="B5" s="237" t="s">
        <v>239</v>
      </c>
      <c r="C5" s="238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ht="12.75" customHeight="1" x14ac:dyDescent="0.25">
      <c r="A6" s="123"/>
      <c r="B6" s="239" t="s">
        <v>240</v>
      </c>
      <c r="C6" s="240">
        <v>1932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 ht="12.75" customHeight="1" x14ac:dyDescent="0.25">
      <c r="A7" s="123"/>
      <c r="B7" s="241" t="s">
        <v>241</v>
      </c>
      <c r="C7" s="240">
        <v>2197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 ht="12.75" customHeight="1" x14ac:dyDescent="0.2">
      <c r="A8" s="123"/>
      <c r="B8" s="242" t="s">
        <v>242</v>
      </c>
      <c r="C8" s="243">
        <v>25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 ht="12.75" customHeight="1" x14ac:dyDescent="0.2">
      <c r="A9" s="123"/>
      <c r="B9" s="242" t="s">
        <v>243</v>
      </c>
      <c r="C9" s="243">
        <v>1463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 ht="12.75" customHeight="1" x14ac:dyDescent="0.2">
      <c r="A10" s="123"/>
      <c r="B10" s="242" t="s">
        <v>244</v>
      </c>
      <c r="C10" s="243">
        <v>321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 ht="12.75" customHeight="1" x14ac:dyDescent="0.2">
      <c r="A11" s="123"/>
      <c r="B11" s="242" t="s">
        <v>245</v>
      </c>
      <c r="C11" s="243">
        <v>12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 ht="12.75" customHeight="1" x14ac:dyDescent="0.2">
      <c r="A12" s="123"/>
      <c r="B12" s="242" t="s">
        <v>246</v>
      </c>
      <c r="C12" s="243">
        <v>339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 ht="12.75" customHeight="1" x14ac:dyDescent="0.2">
      <c r="A13" s="123"/>
      <c r="B13" s="242" t="s">
        <v>247</v>
      </c>
      <c r="C13" s="243">
        <v>0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 ht="12.75" customHeight="1" x14ac:dyDescent="0.2">
      <c r="A14" s="123"/>
      <c r="B14" s="242" t="s">
        <v>248</v>
      </c>
      <c r="C14" s="243">
        <v>22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 ht="12.75" customHeight="1" x14ac:dyDescent="0.2">
      <c r="A15" s="123"/>
      <c r="B15" s="244" t="s">
        <v>249</v>
      </c>
      <c r="C15" s="245">
        <v>0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 ht="12.75" customHeight="1" x14ac:dyDescent="0.2">
      <c r="A16" s="123"/>
      <c r="B16" s="246" t="s">
        <v>250</v>
      </c>
      <c r="C16" s="245">
        <v>0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 ht="12.75" customHeight="1" x14ac:dyDescent="0.25">
      <c r="A17" s="123" t="s">
        <v>251</v>
      </c>
      <c r="B17" s="237" t="s">
        <v>252</v>
      </c>
      <c r="C17" s="238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 ht="12.75" customHeight="1" x14ac:dyDescent="0.2">
      <c r="A18" s="123"/>
      <c r="B18" s="247" t="s">
        <v>253</v>
      </c>
      <c r="C18" s="248">
        <v>5183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ht="12.75" customHeight="1" x14ac:dyDescent="0.2">
      <c r="A19" s="123"/>
      <c r="B19" s="242" t="s">
        <v>254</v>
      </c>
      <c r="C19" s="243">
        <v>4918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 ht="12.75" customHeight="1" x14ac:dyDescent="0.2">
      <c r="A20" s="123"/>
      <c r="B20" s="242" t="s">
        <v>255</v>
      </c>
      <c r="C20" s="249">
        <f>C6-C7</f>
        <v>-265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 ht="12.75" customHeight="1" x14ac:dyDescent="0.2">
      <c r="A21" s="123"/>
      <c r="B21" s="250"/>
      <c r="C21" s="251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 ht="12.75" customHeight="1" x14ac:dyDescent="0.25">
      <c r="A22" s="252"/>
      <c r="B22" s="239" t="s">
        <v>256</v>
      </c>
      <c r="C22" s="253">
        <f>MEDIAN(C18,C19)</f>
        <v>5050.5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</row>
    <row r="23" spans="1:23" ht="12.75" customHeight="1" x14ac:dyDescent="0.25">
      <c r="A23" s="123"/>
      <c r="B23" s="241" t="s">
        <v>257</v>
      </c>
      <c r="C23" s="254">
        <f>C9/C22</f>
        <v>0.28967428967428965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</row>
    <row r="24" spans="1:23" ht="12.75" customHeight="1" x14ac:dyDescent="0.25">
      <c r="A24" s="123"/>
      <c r="B24" s="241" t="s">
        <v>258</v>
      </c>
      <c r="C24" s="254">
        <f>MEDIAN(C6,C7)/C22</f>
        <v>0.40877140877140877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</row>
    <row r="25" spans="1:23" ht="12.75" customHeight="1" x14ac:dyDescent="0.25">
      <c r="A25" s="252"/>
      <c r="B25" s="241" t="s">
        <v>259</v>
      </c>
      <c r="C25" s="255">
        <f>12/C24</f>
        <v>29.356260595785905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</row>
    <row r="26" spans="1:23" ht="12.75" customHeight="1" x14ac:dyDescent="0.25">
      <c r="A26" s="123"/>
      <c r="B26" s="241" t="s">
        <v>260</v>
      </c>
      <c r="C26" s="256">
        <v>360</v>
      </c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</row>
    <row r="27" spans="1:23" ht="12.75" customHeight="1" x14ac:dyDescent="0.25">
      <c r="A27" s="123"/>
      <c r="B27" s="241" t="s">
        <v>261</v>
      </c>
      <c r="C27" s="256">
        <v>10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 ht="12.75" customHeight="1" x14ac:dyDescent="0.25">
      <c r="A28" s="123"/>
      <c r="B28" s="239" t="s">
        <v>262</v>
      </c>
      <c r="C28" s="253">
        <v>30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 ht="12.75" customHeight="1" x14ac:dyDescent="0.25">
      <c r="A29" s="123"/>
      <c r="B29" s="239" t="s">
        <v>263</v>
      </c>
      <c r="C29" s="253">
        <v>30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 ht="12.75" customHeight="1" x14ac:dyDescent="0.25">
      <c r="A30" s="252"/>
      <c r="B30" s="239" t="s">
        <v>264</v>
      </c>
      <c r="C30" s="253">
        <f>30+(3*TRUNC(1/C24))</f>
        <v>36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</row>
    <row r="31" spans="1:23" ht="12.75" customHeight="1" x14ac:dyDescent="0.25">
      <c r="A31" s="252"/>
      <c r="B31" s="241" t="s">
        <v>202</v>
      </c>
      <c r="C31" s="257">
        <v>0.08</v>
      </c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</row>
    <row r="32" spans="1:23" ht="12.75" customHeight="1" x14ac:dyDescent="0.25">
      <c r="A32" s="252"/>
      <c r="B32" s="258" t="s">
        <v>265</v>
      </c>
      <c r="C32" s="259">
        <v>0.4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</row>
    <row r="33" spans="1:23" ht="12.75" customHeigh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</row>
    <row r="34" spans="1:23" ht="12.75" customHeight="1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</row>
    <row r="35" spans="1:23" ht="12.75" customHeight="1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</row>
    <row r="36" spans="1:23" ht="12.75" customHeigh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</row>
    <row r="37" spans="1:23" ht="12.75" customHeight="1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</row>
    <row r="38" spans="1:23" ht="12.75" customHeight="1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</row>
    <row r="39" spans="1:23" ht="12.75" customHeight="1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</row>
    <row r="40" spans="1:23" ht="12.75" customHeight="1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</row>
    <row r="41" spans="1:23" ht="12.7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</row>
    <row r="42" spans="1:23" ht="12.75" customHeight="1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</row>
    <row r="43" spans="1:23" ht="12.75" customHeigh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</row>
    <row r="44" spans="1:23" ht="12.75" customHeight="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</row>
    <row r="45" spans="1:23" ht="12.75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</row>
    <row r="46" spans="1:23" ht="12.75" customHeight="1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</row>
    <row r="47" spans="1:23" ht="12.75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</row>
    <row r="48" spans="1:23" ht="12.75" customHeight="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</row>
    <row r="49" spans="1:23" ht="12.75" customHeight="1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</row>
    <row r="50" spans="1:23" ht="12.7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</row>
    <row r="51" spans="1:23" ht="12.75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</row>
    <row r="52" spans="1:23" ht="12.75" customHeight="1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</row>
    <row r="53" spans="1:23" ht="12.7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</row>
    <row r="54" spans="1:23" ht="12.75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</row>
    <row r="55" spans="1:23" ht="12.75" customHeight="1" x14ac:dyDescent="0.2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</row>
    <row r="56" spans="1:23" ht="12.7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</row>
    <row r="57" spans="1:23" ht="12.75" customHeight="1" x14ac:dyDescent="0.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</row>
    <row r="58" spans="1:23" ht="12.75" customHeigh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</row>
    <row r="59" spans="1:23" ht="12.75" customHeight="1" x14ac:dyDescent="0.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</row>
    <row r="60" spans="1:23" ht="12.75" customHeight="1" x14ac:dyDescent="0.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</row>
    <row r="61" spans="1:23" ht="12.75" customHeigh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</row>
    <row r="62" spans="1:23" ht="12.75" customHeight="1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</row>
    <row r="63" spans="1:23" ht="12.75" customHeight="1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</row>
    <row r="64" spans="1:23" ht="12.75" customHeigh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1:23" ht="12.75" customHeigh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1:23" ht="12.75" customHeigh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</row>
    <row r="67" spans="1:23" ht="12.75" customHeigh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</row>
    <row r="68" spans="1:23" ht="12.75" customHeigh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</row>
    <row r="69" spans="1:23" ht="12.75" customHeigh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</row>
    <row r="70" spans="1:23" ht="12.75" customHeigh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</row>
    <row r="71" spans="1:23" ht="12.75" customHeigh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</row>
    <row r="72" spans="1:23" ht="12.75" customHeigh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</row>
    <row r="73" spans="1:23" ht="12.75" customHeigh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4" spans="1:23" ht="12.75" customHeigh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</row>
    <row r="75" spans="1:23" ht="12.75" customHeigh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</row>
    <row r="76" spans="1:23" ht="12.75" customHeigh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</row>
    <row r="77" spans="1:23" ht="12.75" customHeight="1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</row>
    <row r="78" spans="1:23" ht="12.75" customHeight="1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</row>
    <row r="79" spans="1:23" ht="12.75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</row>
    <row r="80" spans="1:23" ht="12.75" customHeight="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</row>
    <row r="81" spans="1:23" ht="12.75" customHeigh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</row>
    <row r="82" spans="1:23" ht="12.75" customHeigh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</row>
    <row r="83" spans="1:23" ht="12.75" customHeigh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</row>
    <row r="84" spans="1:23" ht="12.75" customHeigh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</row>
    <row r="85" spans="1:23" ht="12.75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</row>
    <row r="86" spans="1:23" ht="12.75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</row>
    <row r="87" spans="1:23" ht="12.75" customHeight="1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</row>
    <row r="88" spans="1:23" ht="12.75" customHeigh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</row>
    <row r="89" spans="1:23" ht="12.75" customHeigh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</row>
    <row r="90" spans="1:23" ht="12.75" customHeight="1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</row>
    <row r="91" spans="1:23" ht="12.75" customHeight="1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</row>
    <row r="92" spans="1:23" ht="12.75" customHeight="1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</row>
    <row r="93" spans="1:23" ht="12.75" customHeight="1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</row>
    <row r="94" spans="1:23" ht="12.75" customHeigh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</row>
    <row r="95" spans="1:23" ht="12.75" customHeight="1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</row>
    <row r="96" spans="1:23" ht="12.75" customHeight="1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</row>
    <row r="97" spans="1:23" ht="12.75" customHeight="1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</row>
    <row r="98" spans="1:23" ht="12.75" customHeight="1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</row>
    <row r="99" spans="1:23" ht="12.75" customHeight="1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</row>
    <row r="100" spans="1:23" ht="12.75" customHeight="1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</row>
    <row r="101" spans="1:23" ht="12.75" customHeight="1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</row>
    <row r="102" spans="1:23" ht="12.75" customHeight="1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</row>
    <row r="103" spans="1:23" ht="12.75" customHeight="1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</row>
    <row r="104" spans="1:23" ht="12.75" customHeight="1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</row>
    <row r="105" spans="1:23" ht="12.75" customHeight="1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</row>
    <row r="106" spans="1:23" ht="12.75" customHeight="1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</row>
    <row r="107" spans="1:23" ht="12.75" customHeight="1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</row>
    <row r="108" spans="1:23" ht="12.75" customHeight="1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</row>
    <row r="109" spans="1:23" ht="12.75" customHeight="1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</row>
    <row r="110" spans="1:23" ht="12.75" customHeight="1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</row>
    <row r="111" spans="1:23" ht="12.75" customHeight="1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</row>
    <row r="112" spans="1:23" ht="12.75" customHeight="1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</row>
    <row r="113" spans="1:23" ht="12.75" customHeight="1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</row>
    <row r="114" spans="1:23" ht="12.75" customHeight="1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</row>
    <row r="115" spans="1:23" ht="12.75" customHeight="1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</row>
    <row r="116" spans="1:23" ht="12.75" customHeight="1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</row>
    <row r="117" spans="1:23" ht="12.75" customHeight="1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</row>
    <row r="118" spans="1:23" ht="12.75" customHeight="1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</row>
    <row r="119" spans="1:23" ht="12.7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</row>
    <row r="120" spans="1:23" ht="12.75" customHeight="1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</row>
    <row r="121" spans="1:23" ht="12.75" customHeight="1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</row>
    <row r="122" spans="1:23" ht="12.75" customHeight="1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</row>
    <row r="123" spans="1:23" ht="12.75" customHeight="1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</row>
    <row r="124" spans="1:23" ht="12.75" customHeight="1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</row>
    <row r="125" spans="1:23" ht="12.75" customHeight="1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</row>
    <row r="126" spans="1:23" ht="12.75" customHeight="1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</row>
    <row r="127" spans="1:23" ht="12.75" customHeight="1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</row>
    <row r="128" spans="1:23" ht="12.75" customHeight="1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</row>
    <row r="129" spans="1:23" ht="12.75" customHeight="1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</row>
    <row r="130" spans="1:23" ht="12.75" customHeight="1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</row>
    <row r="131" spans="1:23" ht="12.75" customHeight="1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</row>
    <row r="132" spans="1:23" ht="12.75" customHeight="1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</row>
    <row r="133" spans="1:23" ht="12.75" customHeight="1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</row>
    <row r="134" spans="1:23" ht="12.75" customHeight="1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</row>
    <row r="135" spans="1:23" ht="12.75" customHeight="1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</row>
    <row r="136" spans="1:23" ht="12.75" customHeight="1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</row>
    <row r="137" spans="1:23" ht="12.75" customHeight="1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</row>
    <row r="138" spans="1:23" ht="12.75" customHeight="1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</row>
    <row r="139" spans="1:23" ht="12.75" customHeight="1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</row>
    <row r="140" spans="1:23" ht="12.75" customHeight="1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</row>
    <row r="141" spans="1:23" ht="12.75" customHeight="1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</row>
    <row r="142" spans="1:23" ht="12.75" customHeight="1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</row>
    <row r="143" spans="1:23" ht="12.75" customHeight="1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</row>
    <row r="144" spans="1:23" ht="12.75" customHeight="1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</row>
    <row r="145" spans="1:23" ht="12.75" customHeight="1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</row>
    <row r="146" spans="1:23" ht="12.75" customHeight="1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</row>
    <row r="147" spans="1:23" ht="12.75" customHeight="1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</row>
    <row r="148" spans="1:23" ht="12.7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</row>
    <row r="149" spans="1:23" ht="12.75" customHeight="1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</row>
    <row r="150" spans="1:23" ht="12.75" customHeight="1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</row>
    <row r="151" spans="1:23" ht="12.75" customHeight="1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</row>
    <row r="152" spans="1:23" ht="12.75" customHeight="1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</row>
    <row r="153" spans="1:23" ht="12.75" customHeight="1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</row>
    <row r="154" spans="1:23" ht="12.75" customHeight="1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</row>
    <row r="155" spans="1:23" ht="12.75" customHeight="1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</row>
    <row r="156" spans="1:23" ht="12.75" customHeight="1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</row>
    <row r="157" spans="1:23" ht="12.75" customHeight="1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</row>
    <row r="158" spans="1:23" ht="12.75" customHeight="1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</row>
    <row r="159" spans="1:23" ht="12.75" customHeight="1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</row>
    <row r="160" spans="1:23" ht="12.75" customHeight="1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</row>
    <row r="161" spans="1:23" ht="12.75" customHeight="1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</row>
    <row r="162" spans="1:23" ht="12.75" customHeight="1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</row>
    <row r="163" spans="1:23" ht="12.75" customHeight="1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</row>
    <row r="164" spans="1:23" ht="12.75" customHeight="1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</row>
    <row r="165" spans="1:23" ht="12.75" customHeight="1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</row>
    <row r="166" spans="1:23" ht="12.75" customHeight="1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</row>
    <row r="167" spans="1:23" ht="12.75" customHeight="1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</row>
    <row r="168" spans="1:23" ht="12.75" customHeight="1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</row>
    <row r="169" spans="1:23" ht="12.75" customHeight="1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</row>
    <row r="170" spans="1:23" ht="12.75" customHeight="1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</row>
    <row r="171" spans="1:23" ht="12.75" customHeight="1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</row>
    <row r="172" spans="1:23" ht="12.75" customHeight="1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</row>
    <row r="173" spans="1:23" ht="12.75" customHeight="1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</row>
    <row r="174" spans="1:23" ht="12.75" customHeight="1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</row>
    <row r="175" spans="1:23" ht="12.75" customHeight="1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</row>
    <row r="176" spans="1:23" ht="12.75" customHeight="1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</row>
    <row r="177" spans="1:23" ht="12.7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</row>
    <row r="178" spans="1:23" ht="12.75" customHeight="1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</row>
    <row r="179" spans="1:23" ht="12.75" customHeight="1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</row>
    <row r="180" spans="1:23" ht="12.75" customHeight="1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</row>
    <row r="181" spans="1:23" ht="12.75" customHeight="1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</row>
    <row r="182" spans="1:23" ht="12.75" customHeight="1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</row>
    <row r="183" spans="1:23" ht="12.75" customHeight="1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</row>
    <row r="184" spans="1:23" ht="12.75" customHeight="1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</row>
    <row r="185" spans="1:23" ht="12.75" customHeight="1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</row>
    <row r="186" spans="1:23" ht="12.75" customHeight="1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</row>
    <row r="187" spans="1:23" ht="12.75" customHeight="1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</row>
    <row r="188" spans="1:23" ht="12.75" customHeight="1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</row>
    <row r="189" spans="1:23" ht="12.75" customHeight="1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</row>
    <row r="190" spans="1:23" ht="12.75" customHeight="1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</row>
    <row r="191" spans="1:23" ht="12.75" customHeight="1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</row>
    <row r="192" spans="1:23" ht="12.75" customHeight="1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</row>
    <row r="193" spans="1:23" ht="12.75" customHeight="1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</row>
    <row r="194" spans="1:23" ht="12.75" customHeight="1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</row>
    <row r="195" spans="1:23" ht="12.75" customHeight="1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</row>
    <row r="196" spans="1:23" ht="12.75" customHeight="1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</row>
    <row r="197" spans="1:23" ht="12.75" customHeight="1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</row>
    <row r="198" spans="1:23" ht="12.75" customHeight="1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</row>
    <row r="199" spans="1:23" ht="12.75" customHeight="1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</row>
    <row r="200" spans="1:23" ht="12.75" customHeight="1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</row>
    <row r="201" spans="1:23" ht="12.75" customHeight="1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</row>
    <row r="202" spans="1:23" ht="12.75" customHeight="1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</row>
    <row r="203" spans="1:23" ht="12.75" customHeight="1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</row>
    <row r="204" spans="1:23" ht="12.75" customHeight="1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</row>
    <row r="205" spans="1:23" ht="12.75" customHeight="1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</row>
    <row r="206" spans="1:23" ht="12.7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</row>
    <row r="207" spans="1:23" ht="12.75" customHeight="1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</row>
    <row r="208" spans="1:23" ht="12.75" customHeight="1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</row>
    <row r="209" spans="1:23" ht="12.75" customHeight="1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</row>
    <row r="210" spans="1:23" ht="12.75" customHeight="1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</row>
    <row r="211" spans="1:23" ht="12.75" customHeight="1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</row>
    <row r="212" spans="1:23" ht="12.75" customHeight="1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</row>
    <row r="213" spans="1:23" ht="12.75" customHeight="1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</row>
    <row r="214" spans="1:23" ht="12.75" customHeight="1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</row>
    <row r="215" spans="1:23" ht="12.75" customHeight="1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</row>
    <row r="216" spans="1:23" ht="12.75" customHeight="1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</row>
    <row r="217" spans="1:23" ht="12.75" customHeight="1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</row>
    <row r="218" spans="1:23" ht="12.75" customHeight="1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</row>
    <row r="219" spans="1:23" ht="12.75" customHeight="1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</row>
    <row r="220" spans="1:23" ht="12.75" customHeight="1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</row>
    <row r="221" spans="1:23" ht="12.75" customHeight="1" x14ac:dyDescent="0.2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</row>
    <row r="222" spans="1:23" ht="12.75" customHeight="1" x14ac:dyDescent="0.2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</row>
    <row r="223" spans="1:23" ht="12.75" customHeight="1" x14ac:dyDescent="0.2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</row>
    <row r="224" spans="1:23" ht="12.75" customHeight="1" x14ac:dyDescent="0.2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</row>
    <row r="225" spans="1:23" ht="12.75" customHeight="1" x14ac:dyDescent="0.2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</row>
    <row r="226" spans="1:23" ht="12.75" customHeight="1" x14ac:dyDescent="0.2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</row>
    <row r="227" spans="1:23" ht="12.75" customHeight="1" x14ac:dyDescent="0.2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</row>
    <row r="228" spans="1:23" ht="12.75" customHeight="1" x14ac:dyDescent="0.2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</row>
    <row r="229" spans="1:23" ht="12.75" customHeight="1" x14ac:dyDescent="0.2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</row>
    <row r="230" spans="1:23" ht="12.75" customHeight="1" x14ac:dyDescent="0.2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</row>
    <row r="231" spans="1:23" ht="12.75" customHeight="1" x14ac:dyDescent="0.2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</row>
    <row r="232" spans="1:23" ht="12.75" customHeight="1" x14ac:dyDescent="0.2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</row>
    <row r="233" spans="1:23" ht="15.75" customHeight="1" x14ac:dyDescent="0.2"/>
    <row r="234" spans="1:23" ht="15.75" customHeight="1" x14ac:dyDescent="0.2"/>
    <row r="235" spans="1:23" ht="15.75" customHeight="1" x14ac:dyDescent="0.2"/>
    <row r="236" spans="1:23" ht="15.75" customHeight="1" x14ac:dyDescent="0.2"/>
    <row r="237" spans="1:23" ht="15.75" customHeight="1" x14ac:dyDescent="0.2"/>
    <row r="238" spans="1:23" ht="15.75" customHeight="1" x14ac:dyDescent="0.2"/>
    <row r="239" spans="1:23" ht="15.75" customHeight="1" x14ac:dyDescent="0.2"/>
    <row r="240" spans="1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4:C4"/>
  </mergeCells>
  <pageMargins left="0.90551181102362199" right="0.51181102362204722" top="0.74803149606299213" bottom="0.74803149606299213" header="0" footer="0"/>
  <pageSetup paperSize="9" scale="9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41.85546875" customWidth="1"/>
    <col min="2" max="2" width="5.5703125" customWidth="1"/>
    <col min="3" max="3" width="8.5703125" customWidth="1"/>
    <col min="4" max="4" width="9.7109375" customWidth="1"/>
    <col min="5" max="5" width="8" customWidth="1"/>
    <col min="6" max="6" width="9.7109375" customWidth="1"/>
    <col min="7" max="26" width="8.5703125" customWidth="1"/>
  </cols>
  <sheetData>
    <row r="1" spans="1:26" ht="12.75" customHeight="1" x14ac:dyDescent="0.2">
      <c r="A1" s="17" t="s">
        <v>266</v>
      </c>
      <c r="B1" s="5"/>
      <c r="C1" s="5"/>
      <c r="D1" s="260"/>
      <c r="E1" s="261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</row>
    <row r="2" spans="1:26" ht="12.75" customHeight="1" x14ac:dyDescent="0.2">
      <c r="A2" s="3"/>
      <c r="B2" s="5"/>
      <c r="C2" s="5"/>
      <c r="D2" s="260"/>
      <c r="E2" s="261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</row>
    <row r="3" spans="1:26" ht="12.75" customHeight="1" x14ac:dyDescent="0.2">
      <c r="A3" s="2" t="s">
        <v>0</v>
      </c>
      <c r="B3" s="5"/>
      <c r="C3" s="5"/>
      <c r="D3" s="260"/>
      <c r="E3" s="261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1:26" ht="12.75" customHeight="1" x14ac:dyDescent="0.2">
      <c r="A4" s="2"/>
      <c r="B4" s="5"/>
      <c r="C4" s="5"/>
      <c r="D4" s="260"/>
      <c r="E4" s="261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26" ht="15" customHeight="1" x14ac:dyDescent="0.2">
      <c r="A5" s="208"/>
      <c r="B5" s="3"/>
      <c r="C5" s="3"/>
      <c r="D5" s="3"/>
      <c r="E5" s="3"/>
      <c r="F5" s="3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2">
      <c r="A6" s="208"/>
      <c r="B6" s="3"/>
      <c r="C6" s="3"/>
      <c r="D6" s="4"/>
      <c r="E6" s="4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60"/>
      <c r="B7" s="5"/>
      <c r="C7" s="5"/>
      <c r="D7" s="260"/>
      <c r="E7" s="261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</row>
    <row r="8" spans="1:26" ht="12.75" customHeight="1" x14ac:dyDescent="0.2">
      <c r="A8" s="331" t="s">
        <v>267</v>
      </c>
      <c r="B8" s="314"/>
      <c r="C8" s="314"/>
      <c r="D8" s="314"/>
      <c r="E8" s="314"/>
      <c r="F8" s="315"/>
    </row>
    <row r="9" spans="1:26" ht="12.75" customHeight="1" x14ac:dyDescent="0.2">
      <c r="A9" s="262"/>
      <c r="B9" s="263"/>
      <c r="C9" s="263"/>
      <c r="D9" s="263"/>
      <c r="E9" s="263"/>
      <c r="F9" s="264"/>
    </row>
    <row r="10" spans="1:26" ht="12.75" customHeight="1" x14ac:dyDescent="0.25">
      <c r="A10" s="265"/>
      <c r="B10" s="5"/>
      <c r="C10" s="5"/>
      <c r="D10" s="332" t="s">
        <v>268</v>
      </c>
      <c r="E10" s="328"/>
      <c r="F10" s="329"/>
      <c r="G10" s="260"/>
      <c r="H10" s="260"/>
    </row>
    <row r="11" spans="1:26" ht="12.75" customHeight="1" x14ac:dyDescent="0.2">
      <c r="A11" s="250"/>
      <c r="B11" s="260"/>
      <c r="C11" s="260"/>
      <c r="D11" s="266" t="s">
        <v>269</v>
      </c>
      <c r="E11" s="267" t="s">
        <v>270</v>
      </c>
      <c r="F11" s="268" t="s">
        <v>271</v>
      </c>
      <c r="G11" s="260"/>
      <c r="H11" s="260"/>
    </row>
    <row r="12" spans="1:26" ht="12.75" customHeight="1" x14ac:dyDescent="0.2">
      <c r="A12" s="269" t="s">
        <v>272</v>
      </c>
      <c r="B12" s="270" t="s">
        <v>273</v>
      </c>
      <c r="C12" s="271">
        <v>0.03</v>
      </c>
      <c r="D12" s="272">
        <v>2.9700000000000001E-2</v>
      </c>
      <c r="E12" s="273">
        <v>5.0799999999999998E-2</v>
      </c>
      <c r="F12" s="274">
        <v>6.2700000000000006E-2</v>
      </c>
      <c r="G12" s="260"/>
      <c r="H12" s="260"/>
    </row>
    <row r="13" spans="1:26" ht="12.75" customHeight="1" x14ac:dyDescent="0.2">
      <c r="A13" s="275" t="s">
        <v>274</v>
      </c>
      <c r="B13" s="276" t="s">
        <v>275</v>
      </c>
      <c r="C13" s="277">
        <v>0.01</v>
      </c>
      <c r="D13" s="272">
        <f>0.3%+0.56%</f>
        <v>8.6E-3</v>
      </c>
      <c r="E13" s="273">
        <f>0.48%+0.85%</f>
        <v>1.3299999999999999E-2</v>
      </c>
      <c r="F13" s="274">
        <f>0.82%+0.89%</f>
        <v>1.7099999999999997E-2</v>
      </c>
      <c r="G13" s="260"/>
      <c r="H13" s="260"/>
    </row>
    <row r="14" spans="1:26" ht="12.75" customHeight="1" x14ac:dyDescent="0.2">
      <c r="A14" s="275" t="s">
        <v>276</v>
      </c>
      <c r="B14" s="276" t="s">
        <v>277</v>
      </c>
      <c r="C14" s="277">
        <v>0.1</v>
      </c>
      <c r="D14" s="272">
        <v>7.7799999999999994E-2</v>
      </c>
      <c r="E14" s="273">
        <v>0.1085</v>
      </c>
      <c r="F14" s="274">
        <v>0.13550000000000001</v>
      </c>
      <c r="G14" s="260"/>
      <c r="H14" s="260"/>
    </row>
    <row r="15" spans="1:26" ht="12.75" customHeight="1" x14ac:dyDescent="0.2">
      <c r="A15" s="275" t="s">
        <v>278</v>
      </c>
      <c r="B15" s="276" t="s">
        <v>279</v>
      </c>
      <c r="C15" s="278">
        <v>0</v>
      </c>
      <c r="D15" s="272" t="s">
        <v>280</v>
      </c>
      <c r="E15" s="279">
        <v>0.03</v>
      </c>
      <c r="F15" s="280"/>
      <c r="G15" s="260"/>
      <c r="H15" s="260"/>
    </row>
    <row r="16" spans="1:26" ht="12.75" customHeight="1" x14ac:dyDescent="0.2">
      <c r="A16" s="275" t="s">
        <v>281</v>
      </c>
      <c r="B16" s="333" t="s">
        <v>282</v>
      </c>
      <c r="C16" s="277">
        <v>0.04</v>
      </c>
      <c r="D16" s="281" t="s">
        <v>283</v>
      </c>
      <c r="E16" s="282">
        <v>12</v>
      </c>
      <c r="F16" s="249"/>
      <c r="G16" s="260"/>
      <c r="H16" s="260"/>
    </row>
    <row r="17" spans="1:8" ht="12.75" customHeight="1" x14ac:dyDescent="0.2">
      <c r="A17" s="283" t="s">
        <v>284</v>
      </c>
      <c r="B17" s="334"/>
      <c r="C17" s="284">
        <v>0.11</v>
      </c>
      <c r="D17" s="242"/>
      <c r="E17" s="285"/>
      <c r="F17" s="249"/>
      <c r="G17" s="260"/>
      <c r="H17" s="260"/>
    </row>
    <row r="18" spans="1:8" ht="12.75" customHeight="1" x14ac:dyDescent="0.2">
      <c r="A18" s="286" t="s">
        <v>285</v>
      </c>
      <c r="B18" s="287"/>
      <c r="C18" s="288"/>
      <c r="D18" s="242"/>
      <c r="E18" s="285"/>
      <c r="F18" s="249"/>
      <c r="G18" s="260"/>
      <c r="H18" s="260"/>
    </row>
    <row r="19" spans="1:8" ht="12.75" customHeight="1" x14ac:dyDescent="0.2">
      <c r="A19" s="289" t="s">
        <v>286</v>
      </c>
      <c r="B19" s="290"/>
      <c r="C19" s="291"/>
      <c r="D19" s="242"/>
      <c r="E19" s="285"/>
      <c r="F19" s="249"/>
      <c r="G19" s="260"/>
      <c r="H19" s="260"/>
    </row>
    <row r="20" spans="1:8" ht="12.75" customHeight="1" x14ac:dyDescent="0.2">
      <c r="A20" s="292" t="s">
        <v>287</v>
      </c>
      <c r="B20" s="293"/>
      <c r="C20" s="294">
        <f>ROUND((((1+C12+C13)*(1+C14)*(1+C15))/(1-(C16+C17))-1),4)</f>
        <v>0.34589999999999999</v>
      </c>
      <c r="D20" s="295">
        <v>0.21429999999999999</v>
      </c>
      <c r="E20" s="296">
        <v>0.2717</v>
      </c>
      <c r="F20" s="297">
        <v>0.3362</v>
      </c>
      <c r="G20" s="260"/>
      <c r="H20" s="260"/>
    </row>
    <row r="21" spans="1:8" ht="12.75" customHeight="1" x14ac:dyDescent="0.2">
      <c r="A21" s="260"/>
      <c r="B21" s="260"/>
      <c r="C21" s="260"/>
      <c r="D21" s="260"/>
      <c r="E21" s="261"/>
      <c r="F21" s="260"/>
      <c r="G21" s="260"/>
      <c r="H21" s="260"/>
    </row>
    <row r="22" spans="1:8" ht="12.75" customHeight="1" x14ac:dyDescent="0.2">
      <c r="A22" s="260"/>
      <c r="B22" s="260"/>
      <c r="C22" s="260"/>
      <c r="D22" s="260"/>
      <c r="E22" s="261"/>
      <c r="F22" s="260"/>
      <c r="G22" s="260"/>
      <c r="H22" s="260"/>
    </row>
    <row r="23" spans="1:8" ht="12.75" customHeight="1" x14ac:dyDescent="0.2">
      <c r="A23" s="260"/>
      <c r="B23" s="260"/>
      <c r="C23" s="260"/>
      <c r="D23" s="260"/>
      <c r="E23" s="261"/>
      <c r="F23" s="260"/>
      <c r="G23" s="260"/>
      <c r="H23" s="260"/>
    </row>
    <row r="24" spans="1:8" ht="12.75" customHeight="1" x14ac:dyDescent="0.2">
      <c r="A24" s="260"/>
      <c r="B24" s="260"/>
      <c r="C24" s="260"/>
      <c r="D24" s="260"/>
      <c r="E24" s="261"/>
      <c r="F24" s="260"/>
      <c r="G24" s="260"/>
      <c r="H24" s="260"/>
    </row>
    <row r="25" spans="1:8" ht="12.75" customHeight="1" x14ac:dyDescent="0.2">
      <c r="E25" s="298"/>
    </row>
    <row r="26" spans="1:8" ht="12.75" customHeight="1" x14ac:dyDescent="0.2">
      <c r="E26" s="298"/>
    </row>
    <row r="27" spans="1:8" ht="12.75" customHeight="1" x14ac:dyDescent="0.2">
      <c r="E27" s="298"/>
    </row>
    <row r="28" spans="1:8" ht="12.75" customHeight="1" x14ac:dyDescent="0.2">
      <c r="E28" s="298"/>
    </row>
    <row r="29" spans="1:8" ht="12.75" customHeight="1" x14ac:dyDescent="0.2">
      <c r="E29" s="298"/>
    </row>
    <row r="30" spans="1:8" ht="12.75" customHeight="1" x14ac:dyDescent="0.2">
      <c r="E30" s="298"/>
    </row>
    <row r="31" spans="1:8" ht="12.75" customHeight="1" x14ac:dyDescent="0.2">
      <c r="E31" s="298"/>
    </row>
    <row r="32" spans="1:8" ht="12.75" customHeight="1" x14ac:dyDescent="0.2">
      <c r="E32" s="298"/>
    </row>
    <row r="33" spans="5:5" ht="12.75" customHeight="1" x14ac:dyDescent="0.2">
      <c r="E33" s="298"/>
    </row>
    <row r="34" spans="5:5" ht="12.75" customHeight="1" x14ac:dyDescent="0.2">
      <c r="E34" s="298"/>
    </row>
    <row r="35" spans="5:5" ht="12.75" customHeight="1" x14ac:dyDescent="0.2">
      <c r="E35" s="298"/>
    </row>
    <row r="36" spans="5:5" ht="12.75" customHeight="1" x14ac:dyDescent="0.2">
      <c r="E36" s="298"/>
    </row>
    <row r="37" spans="5:5" ht="12.75" customHeight="1" x14ac:dyDescent="0.2">
      <c r="E37" s="298"/>
    </row>
    <row r="38" spans="5:5" ht="12.75" customHeight="1" x14ac:dyDescent="0.2">
      <c r="E38" s="298"/>
    </row>
    <row r="39" spans="5:5" ht="12.75" customHeight="1" x14ac:dyDescent="0.2">
      <c r="E39" s="298"/>
    </row>
    <row r="40" spans="5:5" ht="12.75" customHeight="1" x14ac:dyDescent="0.2">
      <c r="E40" s="298"/>
    </row>
    <row r="41" spans="5:5" ht="12.75" customHeight="1" x14ac:dyDescent="0.2">
      <c r="E41" s="298"/>
    </row>
    <row r="42" spans="5:5" ht="12.75" customHeight="1" x14ac:dyDescent="0.2">
      <c r="E42" s="298"/>
    </row>
    <row r="43" spans="5:5" ht="12.75" customHeight="1" x14ac:dyDescent="0.2">
      <c r="E43" s="298"/>
    </row>
    <row r="44" spans="5:5" ht="12.75" customHeight="1" x14ac:dyDescent="0.2">
      <c r="E44" s="298"/>
    </row>
    <row r="45" spans="5:5" ht="12.75" customHeight="1" x14ac:dyDescent="0.2">
      <c r="E45" s="298"/>
    </row>
    <row r="46" spans="5:5" ht="12.75" customHeight="1" x14ac:dyDescent="0.2">
      <c r="E46" s="298"/>
    </row>
    <row r="47" spans="5:5" ht="12.75" customHeight="1" x14ac:dyDescent="0.2">
      <c r="E47" s="298"/>
    </row>
    <row r="48" spans="5:5" ht="12.75" customHeight="1" x14ac:dyDescent="0.2">
      <c r="E48" s="298"/>
    </row>
    <row r="49" spans="5:5" ht="12.75" customHeight="1" x14ac:dyDescent="0.2">
      <c r="E49" s="298"/>
    </row>
    <row r="50" spans="5:5" ht="12.75" customHeight="1" x14ac:dyDescent="0.2">
      <c r="E50" s="298"/>
    </row>
    <row r="51" spans="5:5" ht="12.75" customHeight="1" x14ac:dyDescent="0.2">
      <c r="E51" s="298"/>
    </row>
    <row r="52" spans="5:5" ht="12.75" customHeight="1" x14ac:dyDescent="0.2">
      <c r="E52" s="298"/>
    </row>
    <row r="53" spans="5:5" ht="12.75" customHeight="1" x14ac:dyDescent="0.2">
      <c r="E53" s="298"/>
    </row>
    <row r="54" spans="5:5" ht="12.75" customHeight="1" x14ac:dyDescent="0.2">
      <c r="E54" s="298"/>
    </row>
    <row r="55" spans="5:5" ht="12.75" customHeight="1" x14ac:dyDescent="0.2">
      <c r="E55" s="298"/>
    </row>
    <row r="56" spans="5:5" ht="12.75" customHeight="1" x14ac:dyDescent="0.2">
      <c r="E56" s="298"/>
    </row>
    <row r="57" spans="5:5" ht="12.75" customHeight="1" x14ac:dyDescent="0.2">
      <c r="E57" s="298"/>
    </row>
    <row r="58" spans="5:5" ht="12.75" customHeight="1" x14ac:dyDescent="0.2">
      <c r="E58" s="298"/>
    </row>
    <row r="59" spans="5:5" ht="12.75" customHeight="1" x14ac:dyDescent="0.2">
      <c r="E59" s="298"/>
    </row>
    <row r="60" spans="5:5" ht="12.75" customHeight="1" x14ac:dyDescent="0.2">
      <c r="E60" s="298"/>
    </row>
    <row r="61" spans="5:5" ht="12.75" customHeight="1" x14ac:dyDescent="0.2">
      <c r="E61" s="298"/>
    </row>
    <row r="62" spans="5:5" ht="12.75" customHeight="1" x14ac:dyDescent="0.2">
      <c r="E62" s="298"/>
    </row>
    <row r="63" spans="5:5" ht="12.75" customHeight="1" x14ac:dyDescent="0.2">
      <c r="E63" s="298"/>
    </row>
    <row r="64" spans="5:5" ht="12.75" customHeight="1" x14ac:dyDescent="0.2">
      <c r="E64" s="298"/>
    </row>
    <row r="65" spans="5:5" ht="12.75" customHeight="1" x14ac:dyDescent="0.2">
      <c r="E65" s="298"/>
    </row>
    <row r="66" spans="5:5" ht="12.75" customHeight="1" x14ac:dyDescent="0.2">
      <c r="E66" s="298"/>
    </row>
    <row r="67" spans="5:5" ht="12.75" customHeight="1" x14ac:dyDescent="0.2">
      <c r="E67" s="298"/>
    </row>
    <row r="68" spans="5:5" ht="12.75" customHeight="1" x14ac:dyDescent="0.2">
      <c r="E68" s="298"/>
    </row>
    <row r="69" spans="5:5" ht="12.75" customHeight="1" x14ac:dyDescent="0.2">
      <c r="E69" s="298"/>
    </row>
    <row r="70" spans="5:5" ht="12.75" customHeight="1" x14ac:dyDescent="0.2">
      <c r="E70" s="298"/>
    </row>
    <row r="71" spans="5:5" ht="12.75" customHeight="1" x14ac:dyDescent="0.2">
      <c r="E71" s="298"/>
    </row>
    <row r="72" spans="5:5" ht="12.75" customHeight="1" x14ac:dyDescent="0.2">
      <c r="E72" s="298"/>
    </row>
    <row r="73" spans="5:5" ht="12.75" customHeight="1" x14ac:dyDescent="0.2">
      <c r="E73" s="298"/>
    </row>
    <row r="74" spans="5:5" ht="12.75" customHeight="1" x14ac:dyDescent="0.2">
      <c r="E74" s="298"/>
    </row>
    <row r="75" spans="5:5" ht="12.75" customHeight="1" x14ac:dyDescent="0.2">
      <c r="E75" s="298"/>
    </row>
    <row r="76" spans="5:5" ht="12.75" customHeight="1" x14ac:dyDescent="0.2">
      <c r="E76" s="298"/>
    </row>
    <row r="77" spans="5:5" ht="12.75" customHeight="1" x14ac:dyDescent="0.2">
      <c r="E77" s="298"/>
    </row>
    <row r="78" spans="5:5" ht="12.75" customHeight="1" x14ac:dyDescent="0.2">
      <c r="E78" s="298"/>
    </row>
    <row r="79" spans="5:5" ht="12.75" customHeight="1" x14ac:dyDescent="0.2">
      <c r="E79" s="298"/>
    </row>
    <row r="80" spans="5:5" ht="12.75" customHeight="1" x14ac:dyDescent="0.2">
      <c r="E80" s="298"/>
    </row>
    <row r="81" spans="5:5" ht="12.75" customHeight="1" x14ac:dyDescent="0.2">
      <c r="E81" s="298"/>
    </row>
    <row r="82" spans="5:5" ht="12.75" customHeight="1" x14ac:dyDescent="0.2">
      <c r="E82" s="298"/>
    </row>
    <row r="83" spans="5:5" ht="12.75" customHeight="1" x14ac:dyDescent="0.2">
      <c r="E83" s="298"/>
    </row>
    <row r="84" spans="5:5" ht="12.75" customHeight="1" x14ac:dyDescent="0.2">
      <c r="E84" s="298"/>
    </row>
    <row r="85" spans="5:5" ht="12.75" customHeight="1" x14ac:dyDescent="0.2">
      <c r="E85" s="298"/>
    </row>
    <row r="86" spans="5:5" ht="12.75" customHeight="1" x14ac:dyDescent="0.2">
      <c r="E86" s="298"/>
    </row>
    <row r="87" spans="5:5" ht="12.75" customHeight="1" x14ac:dyDescent="0.2">
      <c r="E87" s="298"/>
    </row>
    <row r="88" spans="5:5" ht="12.75" customHeight="1" x14ac:dyDescent="0.2">
      <c r="E88" s="298"/>
    </row>
    <row r="89" spans="5:5" ht="12.75" customHeight="1" x14ac:dyDescent="0.2">
      <c r="E89" s="298"/>
    </row>
    <row r="90" spans="5:5" ht="12.75" customHeight="1" x14ac:dyDescent="0.2">
      <c r="E90" s="298"/>
    </row>
    <row r="91" spans="5:5" ht="12.75" customHeight="1" x14ac:dyDescent="0.2">
      <c r="E91" s="298"/>
    </row>
    <row r="92" spans="5:5" ht="12.75" customHeight="1" x14ac:dyDescent="0.2">
      <c r="E92" s="298"/>
    </row>
    <row r="93" spans="5:5" ht="12.75" customHeight="1" x14ac:dyDescent="0.2">
      <c r="E93" s="298"/>
    </row>
    <row r="94" spans="5:5" ht="12.75" customHeight="1" x14ac:dyDescent="0.2">
      <c r="E94" s="298"/>
    </row>
    <row r="95" spans="5:5" ht="12.75" customHeight="1" x14ac:dyDescent="0.2">
      <c r="E95" s="298"/>
    </row>
    <row r="96" spans="5:5" ht="12.75" customHeight="1" x14ac:dyDescent="0.2">
      <c r="E96" s="298"/>
    </row>
    <row r="97" spans="5:5" ht="12.75" customHeight="1" x14ac:dyDescent="0.2">
      <c r="E97" s="298"/>
    </row>
    <row r="98" spans="5:5" ht="12.75" customHeight="1" x14ac:dyDescent="0.2">
      <c r="E98" s="298"/>
    </row>
    <row r="99" spans="5:5" ht="12.75" customHeight="1" x14ac:dyDescent="0.2">
      <c r="E99" s="298"/>
    </row>
    <row r="100" spans="5:5" ht="12.75" customHeight="1" x14ac:dyDescent="0.2">
      <c r="E100" s="298"/>
    </row>
    <row r="101" spans="5:5" ht="12.75" customHeight="1" x14ac:dyDescent="0.2">
      <c r="E101" s="298"/>
    </row>
    <row r="102" spans="5:5" ht="12.75" customHeight="1" x14ac:dyDescent="0.2">
      <c r="E102" s="298"/>
    </row>
    <row r="103" spans="5:5" ht="12.75" customHeight="1" x14ac:dyDescent="0.2">
      <c r="E103" s="298"/>
    </row>
    <row r="104" spans="5:5" ht="12.75" customHeight="1" x14ac:dyDescent="0.2">
      <c r="E104" s="298"/>
    </row>
    <row r="105" spans="5:5" ht="12.75" customHeight="1" x14ac:dyDescent="0.2">
      <c r="E105" s="298"/>
    </row>
    <row r="106" spans="5:5" ht="12.75" customHeight="1" x14ac:dyDescent="0.2">
      <c r="E106" s="298"/>
    </row>
    <row r="107" spans="5:5" ht="12.75" customHeight="1" x14ac:dyDescent="0.2">
      <c r="E107" s="298"/>
    </row>
    <row r="108" spans="5:5" ht="12.75" customHeight="1" x14ac:dyDescent="0.2">
      <c r="E108" s="298"/>
    </row>
    <row r="109" spans="5:5" ht="12.75" customHeight="1" x14ac:dyDescent="0.2">
      <c r="E109" s="298"/>
    </row>
    <row r="110" spans="5:5" ht="12.75" customHeight="1" x14ac:dyDescent="0.2">
      <c r="E110" s="298"/>
    </row>
    <row r="111" spans="5:5" ht="12.75" customHeight="1" x14ac:dyDescent="0.2">
      <c r="E111" s="298"/>
    </row>
    <row r="112" spans="5:5" ht="12.75" customHeight="1" x14ac:dyDescent="0.2">
      <c r="E112" s="298"/>
    </row>
    <row r="113" spans="5:5" ht="12.75" customHeight="1" x14ac:dyDescent="0.2">
      <c r="E113" s="298"/>
    </row>
    <row r="114" spans="5:5" ht="12.75" customHeight="1" x14ac:dyDescent="0.2">
      <c r="E114" s="298"/>
    </row>
    <row r="115" spans="5:5" ht="12.75" customHeight="1" x14ac:dyDescent="0.2">
      <c r="E115" s="298"/>
    </row>
    <row r="116" spans="5:5" ht="12.75" customHeight="1" x14ac:dyDescent="0.2">
      <c r="E116" s="298"/>
    </row>
    <row r="117" spans="5:5" ht="12.75" customHeight="1" x14ac:dyDescent="0.2">
      <c r="E117" s="298"/>
    </row>
    <row r="118" spans="5:5" ht="12.75" customHeight="1" x14ac:dyDescent="0.2">
      <c r="E118" s="298"/>
    </row>
    <row r="119" spans="5:5" ht="12.75" customHeight="1" x14ac:dyDescent="0.2">
      <c r="E119" s="298"/>
    </row>
    <row r="120" spans="5:5" ht="12.75" customHeight="1" x14ac:dyDescent="0.2">
      <c r="E120" s="298"/>
    </row>
    <row r="121" spans="5:5" ht="12.75" customHeight="1" x14ac:dyDescent="0.2">
      <c r="E121" s="298"/>
    </row>
    <row r="122" spans="5:5" ht="12.75" customHeight="1" x14ac:dyDescent="0.2">
      <c r="E122" s="298"/>
    </row>
    <row r="123" spans="5:5" ht="12.75" customHeight="1" x14ac:dyDescent="0.2">
      <c r="E123" s="298"/>
    </row>
    <row r="124" spans="5:5" ht="12.75" customHeight="1" x14ac:dyDescent="0.2">
      <c r="E124" s="298"/>
    </row>
    <row r="125" spans="5:5" ht="12.75" customHeight="1" x14ac:dyDescent="0.2">
      <c r="E125" s="298"/>
    </row>
    <row r="126" spans="5:5" ht="12.75" customHeight="1" x14ac:dyDescent="0.2">
      <c r="E126" s="298"/>
    </row>
    <row r="127" spans="5:5" ht="12.75" customHeight="1" x14ac:dyDescent="0.2">
      <c r="E127" s="298"/>
    </row>
    <row r="128" spans="5:5" ht="12.75" customHeight="1" x14ac:dyDescent="0.2">
      <c r="E128" s="298"/>
    </row>
    <row r="129" spans="5:5" ht="12.75" customHeight="1" x14ac:dyDescent="0.2">
      <c r="E129" s="298"/>
    </row>
    <row r="130" spans="5:5" ht="12.75" customHeight="1" x14ac:dyDescent="0.2">
      <c r="E130" s="298"/>
    </row>
    <row r="131" spans="5:5" ht="12.75" customHeight="1" x14ac:dyDescent="0.2">
      <c r="E131" s="298"/>
    </row>
    <row r="132" spans="5:5" ht="12.75" customHeight="1" x14ac:dyDescent="0.2">
      <c r="E132" s="298"/>
    </row>
    <row r="133" spans="5:5" ht="12.75" customHeight="1" x14ac:dyDescent="0.2">
      <c r="E133" s="298"/>
    </row>
    <row r="134" spans="5:5" ht="12.75" customHeight="1" x14ac:dyDescent="0.2">
      <c r="E134" s="298"/>
    </row>
    <row r="135" spans="5:5" ht="12.75" customHeight="1" x14ac:dyDescent="0.2">
      <c r="E135" s="298"/>
    </row>
    <row r="136" spans="5:5" ht="12.75" customHeight="1" x14ac:dyDescent="0.2">
      <c r="E136" s="298"/>
    </row>
    <row r="137" spans="5:5" ht="12.75" customHeight="1" x14ac:dyDescent="0.2">
      <c r="E137" s="298"/>
    </row>
    <row r="138" spans="5:5" ht="12.75" customHeight="1" x14ac:dyDescent="0.2">
      <c r="E138" s="298"/>
    </row>
    <row r="139" spans="5:5" ht="12.75" customHeight="1" x14ac:dyDescent="0.2">
      <c r="E139" s="298"/>
    </row>
    <row r="140" spans="5:5" ht="12.75" customHeight="1" x14ac:dyDescent="0.2">
      <c r="E140" s="298"/>
    </row>
    <row r="141" spans="5:5" ht="12.75" customHeight="1" x14ac:dyDescent="0.2">
      <c r="E141" s="298"/>
    </row>
    <row r="142" spans="5:5" ht="12.75" customHeight="1" x14ac:dyDescent="0.2">
      <c r="E142" s="298"/>
    </row>
    <row r="143" spans="5:5" ht="12.75" customHeight="1" x14ac:dyDescent="0.2">
      <c r="E143" s="298"/>
    </row>
    <row r="144" spans="5:5" ht="12.75" customHeight="1" x14ac:dyDescent="0.2">
      <c r="E144" s="298"/>
    </row>
    <row r="145" spans="5:5" ht="12.75" customHeight="1" x14ac:dyDescent="0.2">
      <c r="E145" s="298"/>
    </row>
    <row r="146" spans="5:5" ht="12.75" customHeight="1" x14ac:dyDescent="0.2">
      <c r="E146" s="298"/>
    </row>
    <row r="147" spans="5:5" ht="12.75" customHeight="1" x14ac:dyDescent="0.2">
      <c r="E147" s="298"/>
    </row>
    <row r="148" spans="5:5" ht="12.75" customHeight="1" x14ac:dyDescent="0.2">
      <c r="E148" s="298"/>
    </row>
    <row r="149" spans="5:5" ht="12.75" customHeight="1" x14ac:dyDescent="0.2">
      <c r="E149" s="298"/>
    </row>
    <row r="150" spans="5:5" ht="12.75" customHeight="1" x14ac:dyDescent="0.2">
      <c r="E150" s="298"/>
    </row>
    <row r="151" spans="5:5" ht="12.75" customHeight="1" x14ac:dyDescent="0.2">
      <c r="E151" s="298"/>
    </row>
    <row r="152" spans="5:5" ht="12.75" customHeight="1" x14ac:dyDescent="0.2">
      <c r="E152" s="298"/>
    </row>
    <row r="153" spans="5:5" ht="12.75" customHeight="1" x14ac:dyDescent="0.2">
      <c r="E153" s="298"/>
    </row>
    <row r="154" spans="5:5" ht="12.75" customHeight="1" x14ac:dyDescent="0.2">
      <c r="E154" s="298"/>
    </row>
    <row r="155" spans="5:5" ht="12.75" customHeight="1" x14ac:dyDescent="0.2">
      <c r="E155" s="298"/>
    </row>
    <row r="156" spans="5:5" ht="12.75" customHeight="1" x14ac:dyDescent="0.2">
      <c r="E156" s="298"/>
    </row>
    <row r="157" spans="5:5" ht="12.75" customHeight="1" x14ac:dyDescent="0.2">
      <c r="E157" s="298"/>
    </row>
    <row r="158" spans="5:5" ht="12.75" customHeight="1" x14ac:dyDescent="0.2">
      <c r="E158" s="298"/>
    </row>
    <row r="159" spans="5:5" ht="12.75" customHeight="1" x14ac:dyDescent="0.2">
      <c r="E159" s="298"/>
    </row>
    <row r="160" spans="5:5" ht="12.75" customHeight="1" x14ac:dyDescent="0.2">
      <c r="E160" s="298"/>
    </row>
    <row r="161" spans="5:5" ht="12.75" customHeight="1" x14ac:dyDescent="0.2">
      <c r="E161" s="298"/>
    </row>
    <row r="162" spans="5:5" ht="12.75" customHeight="1" x14ac:dyDescent="0.2">
      <c r="E162" s="298"/>
    </row>
    <row r="163" spans="5:5" ht="12.75" customHeight="1" x14ac:dyDescent="0.2">
      <c r="E163" s="298"/>
    </row>
    <row r="164" spans="5:5" ht="12.75" customHeight="1" x14ac:dyDescent="0.2">
      <c r="E164" s="298"/>
    </row>
    <row r="165" spans="5:5" ht="12.75" customHeight="1" x14ac:dyDescent="0.2">
      <c r="E165" s="298"/>
    </row>
    <row r="166" spans="5:5" ht="12.75" customHeight="1" x14ac:dyDescent="0.2">
      <c r="E166" s="298"/>
    </row>
    <row r="167" spans="5:5" ht="12.75" customHeight="1" x14ac:dyDescent="0.2">
      <c r="E167" s="298"/>
    </row>
    <row r="168" spans="5:5" ht="12.75" customHeight="1" x14ac:dyDescent="0.2">
      <c r="E168" s="298"/>
    </row>
    <row r="169" spans="5:5" ht="12.75" customHeight="1" x14ac:dyDescent="0.2">
      <c r="E169" s="298"/>
    </row>
    <row r="170" spans="5:5" ht="12.75" customHeight="1" x14ac:dyDescent="0.2">
      <c r="E170" s="298"/>
    </row>
    <row r="171" spans="5:5" ht="12.75" customHeight="1" x14ac:dyDescent="0.2">
      <c r="E171" s="298"/>
    </row>
    <row r="172" spans="5:5" ht="12.75" customHeight="1" x14ac:dyDescent="0.2">
      <c r="E172" s="298"/>
    </row>
    <row r="173" spans="5:5" ht="12.75" customHeight="1" x14ac:dyDescent="0.2">
      <c r="E173" s="298"/>
    </row>
    <row r="174" spans="5:5" ht="12.75" customHeight="1" x14ac:dyDescent="0.2">
      <c r="E174" s="298"/>
    </row>
    <row r="175" spans="5:5" ht="12.75" customHeight="1" x14ac:dyDescent="0.2">
      <c r="E175" s="298"/>
    </row>
    <row r="176" spans="5:5" ht="12.75" customHeight="1" x14ac:dyDescent="0.2">
      <c r="E176" s="298"/>
    </row>
    <row r="177" spans="5:5" ht="12.75" customHeight="1" x14ac:dyDescent="0.2">
      <c r="E177" s="298"/>
    </row>
    <row r="178" spans="5:5" ht="12.75" customHeight="1" x14ac:dyDescent="0.2">
      <c r="E178" s="298"/>
    </row>
    <row r="179" spans="5:5" ht="12.75" customHeight="1" x14ac:dyDescent="0.2">
      <c r="E179" s="298"/>
    </row>
    <row r="180" spans="5:5" ht="12.75" customHeight="1" x14ac:dyDescent="0.2">
      <c r="E180" s="298"/>
    </row>
    <row r="181" spans="5:5" ht="12.75" customHeight="1" x14ac:dyDescent="0.2">
      <c r="E181" s="298"/>
    </row>
    <row r="182" spans="5:5" ht="12.75" customHeight="1" x14ac:dyDescent="0.2">
      <c r="E182" s="298"/>
    </row>
    <row r="183" spans="5:5" ht="12.75" customHeight="1" x14ac:dyDescent="0.2">
      <c r="E183" s="298"/>
    </row>
    <row r="184" spans="5:5" ht="12.75" customHeight="1" x14ac:dyDescent="0.2">
      <c r="E184" s="298"/>
    </row>
    <row r="185" spans="5:5" ht="12.75" customHeight="1" x14ac:dyDescent="0.2">
      <c r="E185" s="298"/>
    </row>
    <row r="186" spans="5:5" ht="12.75" customHeight="1" x14ac:dyDescent="0.2">
      <c r="E186" s="298"/>
    </row>
    <row r="187" spans="5:5" ht="12.75" customHeight="1" x14ac:dyDescent="0.2">
      <c r="E187" s="298"/>
    </row>
    <row r="188" spans="5:5" ht="12.75" customHeight="1" x14ac:dyDescent="0.2">
      <c r="E188" s="298"/>
    </row>
    <row r="189" spans="5:5" ht="12.75" customHeight="1" x14ac:dyDescent="0.2">
      <c r="E189" s="298"/>
    </row>
    <row r="190" spans="5:5" ht="12.75" customHeight="1" x14ac:dyDescent="0.2">
      <c r="E190" s="298"/>
    </row>
    <row r="191" spans="5:5" ht="12.75" customHeight="1" x14ac:dyDescent="0.2">
      <c r="E191" s="298"/>
    </row>
    <row r="192" spans="5:5" ht="12.75" customHeight="1" x14ac:dyDescent="0.2">
      <c r="E192" s="298"/>
    </row>
    <row r="193" spans="5:5" ht="12.75" customHeight="1" x14ac:dyDescent="0.2">
      <c r="E193" s="298"/>
    </row>
    <row r="194" spans="5:5" ht="12.75" customHeight="1" x14ac:dyDescent="0.2">
      <c r="E194" s="298"/>
    </row>
    <row r="195" spans="5:5" ht="12.75" customHeight="1" x14ac:dyDescent="0.2">
      <c r="E195" s="298"/>
    </row>
    <row r="196" spans="5:5" ht="12.75" customHeight="1" x14ac:dyDescent="0.2">
      <c r="E196" s="298"/>
    </row>
    <row r="197" spans="5:5" ht="12.75" customHeight="1" x14ac:dyDescent="0.2">
      <c r="E197" s="298"/>
    </row>
    <row r="198" spans="5:5" ht="12.75" customHeight="1" x14ac:dyDescent="0.2">
      <c r="E198" s="298"/>
    </row>
    <row r="199" spans="5:5" ht="12.75" customHeight="1" x14ac:dyDescent="0.2">
      <c r="E199" s="298"/>
    </row>
    <row r="200" spans="5:5" ht="12.75" customHeight="1" x14ac:dyDescent="0.2">
      <c r="E200" s="298"/>
    </row>
    <row r="201" spans="5:5" ht="12.75" customHeight="1" x14ac:dyDescent="0.2">
      <c r="E201" s="298"/>
    </row>
    <row r="202" spans="5:5" ht="12.75" customHeight="1" x14ac:dyDescent="0.2">
      <c r="E202" s="298"/>
    </row>
    <row r="203" spans="5:5" ht="12.75" customHeight="1" x14ac:dyDescent="0.2">
      <c r="E203" s="298"/>
    </row>
    <row r="204" spans="5:5" ht="12.75" customHeight="1" x14ac:dyDescent="0.2">
      <c r="E204" s="298"/>
    </row>
    <row r="205" spans="5:5" ht="12.75" customHeight="1" x14ac:dyDescent="0.2">
      <c r="E205" s="298"/>
    </row>
    <row r="206" spans="5:5" ht="12.75" customHeight="1" x14ac:dyDescent="0.2">
      <c r="E206" s="298"/>
    </row>
    <row r="207" spans="5:5" ht="12.75" customHeight="1" x14ac:dyDescent="0.2">
      <c r="E207" s="298"/>
    </row>
    <row r="208" spans="5:5" ht="12.75" customHeight="1" x14ac:dyDescent="0.2">
      <c r="E208" s="298"/>
    </row>
    <row r="209" spans="5:5" ht="12.75" customHeight="1" x14ac:dyDescent="0.2">
      <c r="E209" s="298"/>
    </row>
    <row r="210" spans="5:5" ht="12.75" customHeight="1" x14ac:dyDescent="0.2">
      <c r="E210" s="298"/>
    </row>
    <row r="211" spans="5:5" ht="12.75" customHeight="1" x14ac:dyDescent="0.2">
      <c r="E211" s="298"/>
    </row>
    <row r="212" spans="5:5" ht="12.75" customHeight="1" x14ac:dyDescent="0.2">
      <c r="E212" s="298"/>
    </row>
    <row r="213" spans="5:5" ht="12.75" customHeight="1" x14ac:dyDescent="0.2">
      <c r="E213" s="298"/>
    </row>
    <row r="214" spans="5:5" ht="12.75" customHeight="1" x14ac:dyDescent="0.2">
      <c r="E214" s="298"/>
    </row>
    <row r="215" spans="5:5" ht="12.75" customHeight="1" x14ac:dyDescent="0.2">
      <c r="E215" s="298"/>
    </row>
    <row r="216" spans="5:5" ht="12.75" customHeight="1" x14ac:dyDescent="0.2">
      <c r="E216" s="298"/>
    </row>
    <row r="217" spans="5:5" ht="12.75" customHeight="1" x14ac:dyDescent="0.2">
      <c r="E217" s="298"/>
    </row>
    <row r="218" spans="5:5" ht="12.75" customHeight="1" x14ac:dyDescent="0.2">
      <c r="E218" s="298"/>
    </row>
    <row r="219" spans="5:5" ht="12.75" customHeight="1" x14ac:dyDescent="0.2">
      <c r="E219" s="298"/>
    </row>
    <row r="220" spans="5:5" ht="12.75" customHeight="1" x14ac:dyDescent="0.2">
      <c r="E220" s="298"/>
    </row>
    <row r="221" spans="5:5" ht="15.75" customHeight="1" x14ac:dyDescent="0.2"/>
    <row r="222" spans="5:5" ht="15.75" customHeight="1" x14ac:dyDescent="0.2"/>
    <row r="223" spans="5:5" ht="15.75" customHeight="1" x14ac:dyDescent="0.2"/>
    <row r="224" spans="5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8:F8"/>
    <mergeCell ref="D10:F10"/>
    <mergeCell ref="B16:B17"/>
  </mergeCells>
  <pageMargins left="0.90551181102362199" right="0.51181102362204722" top="0.74803149606299213" bottom="0.74803149606299213" header="0" footer="0"/>
  <pageSetup paperSize="9" fitToHeight="0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2.5703125" defaultRowHeight="15" customHeight="1" x14ac:dyDescent="0.2"/>
  <cols>
    <col min="1" max="1" width="24.5703125" customWidth="1"/>
    <col min="2" max="2" width="20.85546875" customWidth="1"/>
    <col min="3" max="22" width="9.140625" customWidth="1"/>
  </cols>
  <sheetData>
    <row r="1" spans="1:22" ht="19.5" customHeight="1" x14ac:dyDescent="0.2">
      <c r="A1" s="335" t="s">
        <v>288</v>
      </c>
      <c r="B1" s="320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2" ht="19.5" customHeight="1" x14ac:dyDescent="0.2">
      <c r="A2" s="299" t="s">
        <v>289</v>
      </c>
      <c r="B2" s="300" t="s">
        <v>290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2" ht="19.5" customHeight="1" x14ac:dyDescent="0.2">
      <c r="A3" s="301">
        <v>1</v>
      </c>
      <c r="B3" s="302">
        <v>33.629999999999995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1:22" ht="19.5" customHeight="1" x14ac:dyDescent="0.2">
      <c r="A4" s="301">
        <v>2</v>
      </c>
      <c r="B4" s="302">
        <v>43.13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5" spans="1:22" ht="19.5" customHeight="1" x14ac:dyDescent="0.2">
      <c r="A5" s="301">
        <v>3</v>
      </c>
      <c r="B5" s="302">
        <v>48.68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1:22" ht="19.5" customHeight="1" x14ac:dyDescent="0.2">
      <c r="A6" s="301">
        <v>4</v>
      </c>
      <c r="B6" s="302">
        <v>52.62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</row>
    <row r="7" spans="1:22" ht="19.5" customHeight="1" x14ac:dyDescent="0.2">
      <c r="A7" s="301">
        <v>5</v>
      </c>
      <c r="B7" s="302">
        <v>55.679999999999993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</row>
    <row r="8" spans="1:22" ht="19.5" customHeight="1" x14ac:dyDescent="0.2">
      <c r="A8" s="301">
        <v>6</v>
      </c>
      <c r="B8" s="302">
        <v>58.18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</row>
    <row r="9" spans="1:22" ht="19.5" customHeight="1" x14ac:dyDescent="0.2">
      <c r="A9" s="301">
        <v>7</v>
      </c>
      <c r="B9" s="302">
        <v>60.29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spans="1:22" ht="19.5" customHeight="1" x14ac:dyDescent="0.2">
      <c r="A10" s="301">
        <v>8</v>
      </c>
      <c r="B10" s="302">
        <v>62.12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spans="1:22" ht="19.5" customHeight="1" x14ac:dyDescent="0.2">
      <c r="A11" s="301">
        <v>9</v>
      </c>
      <c r="B11" s="302">
        <v>63.73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</row>
    <row r="12" spans="1:22" ht="19.5" customHeight="1" x14ac:dyDescent="0.2">
      <c r="A12" s="301">
        <v>10</v>
      </c>
      <c r="B12" s="302">
        <v>65.180000000000007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</row>
    <row r="13" spans="1:22" ht="19.5" customHeight="1" x14ac:dyDescent="0.2">
      <c r="A13" s="301">
        <v>11</v>
      </c>
      <c r="B13" s="302">
        <v>66.47999999999999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</row>
    <row r="14" spans="1:22" ht="19.5" customHeight="1" x14ac:dyDescent="0.2">
      <c r="A14" s="301">
        <v>12</v>
      </c>
      <c r="B14" s="302">
        <v>67.67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</row>
    <row r="15" spans="1:22" ht="19.5" customHeight="1" x14ac:dyDescent="0.2">
      <c r="A15" s="301">
        <v>13</v>
      </c>
      <c r="B15" s="302">
        <v>68.77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</row>
    <row r="16" spans="1:22" ht="19.5" customHeight="1" x14ac:dyDescent="0.2">
      <c r="A16" s="301">
        <v>14</v>
      </c>
      <c r="B16" s="302">
        <v>69.789999999999992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</row>
    <row r="17" spans="1:22" ht="19.5" customHeight="1" x14ac:dyDescent="0.2">
      <c r="A17" s="303">
        <v>15</v>
      </c>
      <c r="B17" s="304">
        <v>70.73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9.5" customHeight="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2" ht="19.5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</row>
    <row r="20" spans="1:22" ht="19.5" customHeight="1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</row>
    <row r="21" spans="1:22" ht="19.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</row>
    <row r="22" spans="1:22" ht="19.5" customHeight="1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</row>
    <row r="23" spans="1:22" ht="19.5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</row>
    <row r="24" spans="1:22" ht="19.5" customHeight="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</row>
    <row r="25" spans="1:22" ht="19.5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</row>
    <row r="26" spans="1:22" ht="19.5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spans="1:22" ht="19.5" customHeight="1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</row>
    <row r="28" spans="1:22" ht="19.5" customHeight="1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</row>
    <row r="29" spans="1:22" ht="19.5" customHeight="1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</row>
    <row r="30" spans="1:22" ht="19.5" customHeight="1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</row>
    <row r="31" spans="1:22" ht="19.5" customHeight="1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</row>
    <row r="32" spans="1:22" ht="19.5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</row>
    <row r="33" spans="1:22" ht="19.5" customHeigh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</row>
    <row r="34" spans="1:22" ht="19.5" customHeight="1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</row>
    <row r="35" spans="1:22" ht="19.5" customHeight="1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</row>
    <row r="36" spans="1:22" ht="19.5" customHeigh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</row>
    <row r="37" spans="1:22" ht="19.5" customHeight="1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</row>
    <row r="38" spans="1:22" ht="19.5" customHeight="1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</row>
    <row r="39" spans="1:22" ht="19.5" customHeight="1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</row>
    <row r="40" spans="1:22" ht="19.5" customHeight="1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</row>
    <row r="41" spans="1:22" ht="19.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</row>
    <row r="42" spans="1:22" ht="19.5" customHeight="1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</row>
    <row r="43" spans="1:22" ht="19.5" customHeigh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</row>
    <row r="44" spans="1:22" ht="19.5" customHeight="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</row>
    <row r="45" spans="1:22" ht="19.5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</row>
    <row r="46" spans="1:22" ht="19.5" customHeight="1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</row>
    <row r="47" spans="1:22" ht="19.5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</row>
    <row r="48" spans="1:22" ht="19.5" customHeight="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</row>
    <row r="49" spans="1:22" ht="19.5" customHeight="1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1:22" ht="19.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</row>
    <row r="51" spans="1:22" ht="19.5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</row>
    <row r="52" spans="1:22" ht="19.5" customHeight="1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</row>
    <row r="53" spans="1:22" ht="19.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</row>
    <row r="54" spans="1:22" ht="19.5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</row>
    <row r="55" spans="1:22" ht="19.5" customHeight="1" x14ac:dyDescent="0.2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</row>
    <row r="56" spans="1:22" ht="19.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</row>
    <row r="57" spans="1:22" ht="19.5" customHeight="1" x14ac:dyDescent="0.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</row>
    <row r="58" spans="1:22" ht="19.5" customHeigh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</row>
    <row r="59" spans="1:22" ht="19.5" customHeight="1" x14ac:dyDescent="0.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</row>
    <row r="60" spans="1:22" ht="19.5" customHeight="1" x14ac:dyDescent="0.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</row>
    <row r="61" spans="1:22" ht="19.5" customHeigh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</row>
    <row r="62" spans="1:22" ht="19.5" customHeight="1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</row>
    <row r="63" spans="1:22" ht="19.5" customHeight="1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</row>
    <row r="64" spans="1:22" ht="19.5" customHeigh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</row>
    <row r="65" spans="1:22" ht="19.5" customHeigh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</row>
    <row r="66" spans="1:22" ht="19.5" customHeigh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</row>
    <row r="67" spans="1:22" ht="19.5" customHeigh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</row>
    <row r="68" spans="1:22" ht="19.5" customHeigh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</row>
    <row r="69" spans="1:22" ht="19.5" customHeigh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</row>
    <row r="70" spans="1:22" ht="19.5" customHeigh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</row>
    <row r="71" spans="1:22" ht="19.5" customHeigh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</row>
    <row r="72" spans="1:22" ht="19.5" customHeigh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</row>
    <row r="73" spans="1:22" ht="19.5" customHeigh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</row>
    <row r="74" spans="1:22" ht="19.5" customHeigh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</row>
    <row r="75" spans="1:22" ht="19.5" customHeigh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</row>
    <row r="76" spans="1:22" ht="19.5" customHeigh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</row>
    <row r="77" spans="1:22" ht="19.5" customHeight="1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</row>
    <row r="78" spans="1:22" ht="19.5" customHeight="1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</row>
    <row r="79" spans="1:22" ht="19.5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</row>
    <row r="80" spans="1:22" ht="19.5" customHeight="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</row>
    <row r="81" spans="1:22" ht="19.5" customHeigh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</row>
    <row r="82" spans="1:22" ht="19.5" customHeigh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</row>
    <row r="83" spans="1:22" ht="19.5" customHeigh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</row>
    <row r="84" spans="1:22" ht="19.5" customHeigh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</row>
    <row r="85" spans="1:22" ht="19.5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</row>
    <row r="86" spans="1:22" ht="19.5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</row>
    <row r="87" spans="1:22" ht="19.5" customHeight="1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</row>
    <row r="88" spans="1:22" ht="19.5" customHeigh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</row>
    <row r="89" spans="1:22" ht="19.5" customHeigh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</row>
    <row r="90" spans="1:22" ht="19.5" customHeight="1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</row>
    <row r="91" spans="1:22" ht="19.5" customHeight="1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</row>
    <row r="92" spans="1:22" ht="19.5" customHeight="1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</row>
    <row r="93" spans="1:22" ht="19.5" customHeight="1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</row>
    <row r="94" spans="1:22" ht="19.5" customHeigh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</row>
    <row r="95" spans="1:22" ht="19.5" customHeight="1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 ht="19.5" customHeight="1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</row>
    <row r="97" spans="1:22" ht="19.5" customHeight="1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</row>
    <row r="98" spans="1:22" ht="19.5" customHeight="1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</row>
    <row r="99" spans="1:22" ht="19.5" customHeight="1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</row>
    <row r="100" spans="1:22" ht="19.5" customHeight="1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</row>
    <row r="101" spans="1:22" ht="19.5" customHeight="1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</row>
    <row r="102" spans="1:22" ht="19.5" customHeight="1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</row>
    <row r="103" spans="1:22" ht="19.5" customHeight="1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</row>
    <row r="104" spans="1:22" ht="19.5" customHeight="1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</row>
    <row r="105" spans="1:22" ht="19.5" customHeight="1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</row>
    <row r="106" spans="1:22" ht="19.5" customHeight="1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</row>
    <row r="107" spans="1:22" ht="19.5" customHeight="1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</row>
    <row r="108" spans="1:22" ht="19.5" customHeight="1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</row>
    <row r="109" spans="1:22" ht="19.5" customHeight="1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</row>
    <row r="110" spans="1:22" ht="19.5" customHeight="1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</row>
    <row r="111" spans="1:22" ht="19.5" customHeight="1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</row>
    <row r="112" spans="1:22" ht="19.5" customHeight="1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</row>
    <row r="113" spans="1:22" ht="19.5" customHeight="1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</row>
    <row r="114" spans="1:22" ht="19.5" customHeight="1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</row>
    <row r="115" spans="1:22" ht="19.5" customHeight="1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</row>
    <row r="116" spans="1:22" ht="19.5" customHeight="1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</row>
    <row r="117" spans="1:22" ht="19.5" customHeight="1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</row>
    <row r="118" spans="1:22" ht="19.5" customHeight="1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</row>
    <row r="119" spans="1:22" ht="19.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</row>
    <row r="120" spans="1:22" ht="19.5" customHeight="1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</row>
    <row r="121" spans="1:22" ht="19.5" customHeight="1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</row>
    <row r="122" spans="1:22" ht="19.5" customHeight="1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</row>
    <row r="123" spans="1:22" ht="19.5" customHeight="1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</row>
    <row r="124" spans="1:22" ht="19.5" customHeight="1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</row>
    <row r="125" spans="1:22" ht="19.5" customHeight="1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</row>
    <row r="126" spans="1:22" ht="19.5" customHeight="1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</row>
    <row r="127" spans="1:22" ht="19.5" customHeight="1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</row>
    <row r="128" spans="1:22" ht="19.5" customHeight="1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</row>
    <row r="129" spans="1:22" ht="19.5" customHeight="1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</row>
    <row r="130" spans="1:22" ht="19.5" customHeight="1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</row>
    <row r="131" spans="1:22" ht="19.5" customHeight="1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</row>
    <row r="132" spans="1:22" ht="19.5" customHeight="1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</row>
    <row r="133" spans="1:22" ht="19.5" customHeight="1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</row>
    <row r="134" spans="1:22" ht="19.5" customHeight="1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</row>
    <row r="135" spans="1:22" ht="19.5" customHeight="1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</row>
    <row r="136" spans="1:22" ht="19.5" customHeight="1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</row>
    <row r="137" spans="1:22" ht="19.5" customHeight="1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</row>
    <row r="138" spans="1:22" ht="19.5" customHeight="1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</row>
    <row r="139" spans="1:22" ht="19.5" customHeight="1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</row>
    <row r="140" spans="1:22" ht="19.5" customHeight="1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</row>
    <row r="141" spans="1:22" ht="19.5" customHeight="1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</row>
    <row r="142" spans="1:22" ht="19.5" customHeight="1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</row>
    <row r="143" spans="1:22" ht="19.5" customHeight="1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</row>
    <row r="144" spans="1:22" ht="19.5" customHeight="1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</row>
    <row r="145" spans="1:22" ht="19.5" customHeight="1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</row>
    <row r="146" spans="1:22" ht="19.5" customHeight="1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</row>
    <row r="147" spans="1:22" ht="19.5" customHeight="1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</row>
    <row r="148" spans="1:22" ht="19.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</row>
    <row r="149" spans="1:22" ht="19.5" customHeight="1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</row>
    <row r="150" spans="1:22" ht="19.5" customHeight="1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</row>
    <row r="151" spans="1:22" ht="19.5" customHeight="1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</row>
    <row r="152" spans="1:22" ht="19.5" customHeight="1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</row>
    <row r="153" spans="1:22" ht="19.5" customHeight="1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</row>
    <row r="154" spans="1:22" ht="19.5" customHeight="1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</row>
    <row r="155" spans="1:22" ht="19.5" customHeight="1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</row>
    <row r="156" spans="1:22" ht="19.5" customHeight="1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</row>
    <row r="157" spans="1:22" ht="19.5" customHeight="1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</row>
    <row r="158" spans="1:22" ht="19.5" customHeight="1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</row>
    <row r="159" spans="1:22" ht="19.5" customHeight="1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</row>
    <row r="160" spans="1:22" ht="19.5" customHeight="1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</row>
    <row r="161" spans="1:22" ht="19.5" customHeight="1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</row>
    <row r="162" spans="1:22" ht="19.5" customHeight="1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</row>
    <row r="163" spans="1:22" ht="19.5" customHeight="1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</row>
    <row r="164" spans="1:22" ht="19.5" customHeight="1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</row>
    <row r="165" spans="1:22" ht="19.5" customHeight="1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</row>
    <row r="166" spans="1:22" ht="19.5" customHeight="1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</row>
    <row r="167" spans="1:22" ht="19.5" customHeight="1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</row>
    <row r="168" spans="1:22" ht="19.5" customHeight="1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</row>
    <row r="169" spans="1:22" ht="19.5" customHeight="1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</row>
    <row r="170" spans="1:22" ht="19.5" customHeight="1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</row>
    <row r="171" spans="1:22" ht="19.5" customHeight="1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</row>
    <row r="172" spans="1:22" ht="19.5" customHeight="1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</row>
    <row r="173" spans="1:22" ht="19.5" customHeight="1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</row>
    <row r="174" spans="1:22" ht="19.5" customHeight="1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</row>
    <row r="175" spans="1:22" ht="19.5" customHeight="1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</row>
    <row r="176" spans="1:22" ht="19.5" customHeight="1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</row>
    <row r="177" spans="1:22" ht="19.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</row>
    <row r="178" spans="1:22" ht="19.5" customHeight="1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</row>
    <row r="179" spans="1:22" ht="19.5" customHeight="1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</row>
    <row r="180" spans="1:22" ht="19.5" customHeight="1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</row>
    <row r="181" spans="1:22" ht="19.5" customHeight="1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</row>
    <row r="182" spans="1:22" ht="19.5" customHeight="1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</row>
    <row r="183" spans="1:22" ht="19.5" customHeight="1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</row>
    <row r="184" spans="1:22" ht="19.5" customHeight="1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</row>
    <row r="185" spans="1:22" ht="19.5" customHeight="1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</row>
    <row r="186" spans="1:22" ht="19.5" customHeight="1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</row>
    <row r="187" spans="1:22" ht="19.5" customHeight="1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</row>
    <row r="188" spans="1:22" ht="19.5" customHeight="1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</row>
    <row r="189" spans="1:22" ht="19.5" customHeight="1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</row>
    <row r="190" spans="1:22" ht="19.5" customHeight="1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</row>
    <row r="191" spans="1:22" ht="19.5" customHeight="1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</row>
    <row r="192" spans="1:22" ht="19.5" customHeight="1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</row>
    <row r="193" spans="1:22" ht="19.5" customHeight="1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</row>
    <row r="194" spans="1:22" ht="19.5" customHeight="1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</row>
    <row r="195" spans="1:22" ht="19.5" customHeight="1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</row>
    <row r="196" spans="1:22" ht="19.5" customHeight="1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</row>
    <row r="197" spans="1:22" ht="19.5" customHeight="1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</row>
    <row r="198" spans="1:22" ht="19.5" customHeight="1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</row>
    <row r="199" spans="1:22" ht="19.5" customHeight="1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</row>
    <row r="200" spans="1:22" ht="19.5" customHeight="1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</row>
    <row r="201" spans="1:22" ht="19.5" customHeight="1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</row>
    <row r="202" spans="1:22" ht="19.5" customHeight="1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</row>
    <row r="203" spans="1:22" ht="19.5" customHeight="1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</row>
    <row r="204" spans="1:22" ht="19.5" customHeight="1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</row>
    <row r="205" spans="1:22" ht="19.5" customHeight="1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</row>
    <row r="206" spans="1:22" ht="19.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</row>
    <row r="207" spans="1:22" ht="19.5" customHeight="1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</row>
    <row r="208" spans="1:22" ht="19.5" customHeight="1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</row>
    <row r="209" spans="1:22" ht="19.5" customHeight="1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</row>
    <row r="210" spans="1:22" ht="19.5" customHeight="1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</row>
    <row r="211" spans="1:22" ht="19.5" customHeight="1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</row>
    <row r="212" spans="1:22" ht="19.5" customHeight="1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</row>
    <row r="213" spans="1:22" ht="19.5" customHeight="1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</row>
    <row r="214" spans="1:22" ht="19.5" customHeight="1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</row>
    <row r="215" spans="1:22" ht="19.5" customHeight="1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</row>
    <row r="216" spans="1:22" ht="19.5" customHeight="1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</row>
    <row r="217" spans="1:22" ht="19.5" customHeight="1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</row>
    <row r="218" spans="1:22" ht="19.5" customHeight="1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</row>
    <row r="219" spans="1:22" ht="19.5" customHeight="1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</row>
    <row r="220" spans="1:22" ht="19.5" customHeight="1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</row>
    <row r="221" spans="1:22" ht="15.75" customHeight="1" x14ac:dyDescent="0.2"/>
    <row r="222" spans="1:22" ht="15.75" customHeight="1" x14ac:dyDescent="0.2"/>
    <row r="223" spans="1:22" ht="15.75" customHeight="1" x14ac:dyDescent="0.2"/>
    <row r="224" spans="1:2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90551181102362199" right="0.51181102362204722" top="0.74803149606299213" bottom="0.74803149606299213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2.5703125" defaultRowHeight="15" customHeight="1" x14ac:dyDescent="0.2"/>
  <cols>
    <col min="1" max="1" width="70.42578125" customWidth="1"/>
    <col min="2" max="3" width="9.140625" customWidth="1"/>
    <col min="4" max="4" width="12.85546875" customWidth="1"/>
    <col min="5" max="21" width="9.140625" customWidth="1"/>
  </cols>
  <sheetData>
    <row r="1" spans="1:21" ht="12.75" customHeight="1" x14ac:dyDescent="0.25">
      <c r="A1" s="305" t="s">
        <v>291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12.75" customHeight="1" x14ac:dyDescent="0.2">
      <c r="A2" s="306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12.75" customHeight="1" x14ac:dyDescent="0.2">
      <c r="A3" s="306" t="s">
        <v>292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12.75" customHeight="1" x14ac:dyDescent="0.2">
      <c r="A4" s="30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2.75" customHeight="1" x14ac:dyDescent="0.2">
      <c r="A5" s="306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12.75" customHeight="1" x14ac:dyDescent="0.2">
      <c r="A6" s="306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12.75" customHeight="1" x14ac:dyDescent="0.2">
      <c r="A7" s="306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12.75" customHeight="1" x14ac:dyDescent="0.2">
      <c r="A8" s="306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12.75" customHeight="1" x14ac:dyDescent="0.2">
      <c r="A9" s="306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1:21" ht="12.75" customHeight="1" x14ac:dyDescent="0.2">
      <c r="A10" s="30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spans="1:21" ht="12.75" customHeight="1" x14ac:dyDescent="0.2">
      <c r="A11" s="306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 ht="12.75" customHeight="1" x14ac:dyDescent="0.35">
      <c r="A12" s="307" t="s">
        <v>293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ht="12.75" customHeight="1" x14ac:dyDescent="0.2">
      <c r="A13" s="307" t="s">
        <v>294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ht="12.75" customHeight="1" x14ac:dyDescent="0.2">
      <c r="A14" s="307" t="s">
        <v>295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ht="12.75" customHeight="1" x14ac:dyDescent="0.35">
      <c r="A15" s="307" t="s">
        <v>296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ht="12.75" customHeight="1" x14ac:dyDescent="0.35">
      <c r="A16" s="307" t="s">
        <v>297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12.75" customHeight="1" x14ac:dyDescent="0.2">
      <c r="A17" s="308" t="s">
        <v>298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ht="12.75" customHeight="1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ht="12.75" customHeight="1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ht="12.75" customHeight="1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 ht="12.7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ht="12.75" customHeight="1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 ht="12.75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12.75" customHeight="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ht="12.75" customHeight="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</row>
    <row r="26" spans="1:21" ht="12.75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</row>
    <row r="27" spans="1:21" ht="12.75" customHeight="1" x14ac:dyDescent="0.2">
      <c r="A27" s="123" t="s">
        <v>299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</row>
    <row r="28" spans="1:21" ht="12.75" customHeight="1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</row>
    <row r="29" spans="1:21" ht="12.75" customHeight="1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</row>
    <row r="30" spans="1:21" ht="12.75" customHeight="1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</row>
    <row r="31" spans="1:21" ht="12.75" customHeight="1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</row>
    <row r="32" spans="1:21" ht="12.75" customHeight="1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</row>
    <row r="33" spans="1:21" ht="12.75" customHeigh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</row>
    <row r="34" spans="1:21" ht="12.75" customHeight="1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</row>
    <row r="35" spans="1:21" ht="12.75" customHeight="1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</row>
    <row r="36" spans="1:21" ht="12.75" customHeigh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21" ht="12.75" customHeight="1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</row>
    <row r="38" spans="1:21" ht="12.75" customHeight="1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1:21" ht="12.75" customHeight="1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</row>
    <row r="40" spans="1:21" ht="12.75" customHeight="1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</row>
    <row r="41" spans="1:21" ht="12.7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</row>
    <row r="42" spans="1:21" ht="12.75" customHeight="1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</row>
    <row r="43" spans="1:21" ht="12.75" customHeight="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</row>
    <row r="44" spans="1:21" ht="12.75" customHeight="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</row>
    <row r="45" spans="1:21" ht="12.75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</row>
    <row r="46" spans="1:21" ht="12.75" customHeight="1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</row>
    <row r="47" spans="1:21" ht="12.75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</row>
    <row r="48" spans="1:21" ht="12.75" customHeight="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</row>
    <row r="49" spans="1:21" ht="12.75" customHeight="1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</row>
    <row r="50" spans="1:21" ht="12.7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</row>
    <row r="51" spans="1:21" ht="12.75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</row>
    <row r="52" spans="1:21" ht="12.75" customHeight="1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</row>
    <row r="53" spans="1:21" ht="12.7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</row>
    <row r="54" spans="1:21" ht="12.75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</row>
    <row r="55" spans="1:21" ht="12.75" customHeight="1" x14ac:dyDescent="0.2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</row>
    <row r="56" spans="1:21" ht="12.7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</row>
    <row r="57" spans="1:21" ht="12.75" customHeight="1" x14ac:dyDescent="0.2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</row>
    <row r="58" spans="1:21" ht="12.75" customHeigh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</row>
    <row r="59" spans="1:21" ht="12.75" customHeight="1" x14ac:dyDescent="0.2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</row>
    <row r="60" spans="1:21" ht="12.75" customHeight="1" x14ac:dyDescent="0.2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</row>
    <row r="61" spans="1:21" ht="12.75" customHeigh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</row>
    <row r="62" spans="1:21" ht="12.75" customHeight="1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</row>
    <row r="63" spans="1:21" ht="12.75" customHeight="1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</row>
    <row r="64" spans="1:21" ht="12.75" customHeight="1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</row>
    <row r="65" spans="1:21" ht="12.75" customHeight="1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</row>
    <row r="66" spans="1:21" ht="12.75" customHeight="1" x14ac:dyDescent="0.2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</row>
    <row r="67" spans="1:21" ht="12.75" customHeight="1" x14ac:dyDescent="0.2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</row>
    <row r="68" spans="1:21" ht="12.75" customHeight="1" x14ac:dyDescent="0.2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</row>
    <row r="69" spans="1:21" ht="12.75" customHeigh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</row>
    <row r="70" spans="1:21" ht="12.75" customHeight="1" x14ac:dyDescent="0.2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</row>
    <row r="71" spans="1:21" ht="12.75" customHeight="1" x14ac:dyDescent="0.2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</row>
    <row r="72" spans="1:21" ht="12.75" customHeight="1" x14ac:dyDescent="0.2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</row>
    <row r="73" spans="1:21" ht="12.75" customHeight="1" x14ac:dyDescent="0.2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</row>
    <row r="74" spans="1:21" ht="12.75" customHeight="1" x14ac:dyDescent="0.2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</row>
    <row r="75" spans="1:21" ht="12.75" customHeight="1" x14ac:dyDescent="0.2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</row>
    <row r="76" spans="1:21" ht="12.75" customHeight="1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</row>
    <row r="77" spans="1:21" ht="12.75" customHeight="1" x14ac:dyDescent="0.2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</row>
    <row r="78" spans="1:21" ht="12.75" customHeight="1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</row>
    <row r="79" spans="1:21" ht="12.75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</row>
    <row r="80" spans="1:21" ht="12.75" customHeight="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</row>
    <row r="81" spans="1:21" ht="12.75" customHeigh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</row>
    <row r="82" spans="1:21" ht="12.75" customHeigh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</row>
    <row r="83" spans="1:21" ht="12.75" customHeight="1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</row>
    <row r="84" spans="1:21" ht="12.75" customHeight="1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</row>
    <row r="85" spans="1:21" ht="12.75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</row>
    <row r="86" spans="1:21" ht="12.75" customHeight="1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</row>
    <row r="87" spans="1:21" ht="12.75" customHeight="1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</row>
    <row r="88" spans="1:21" ht="12.75" customHeight="1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</row>
    <row r="89" spans="1:21" ht="12.75" customHeight="1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</row>
    <row r="90" spans="1:21" ht="12.75" customHeight="1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</row>
    <row r="91" spans="1:21" ht="12.75" customHeight="1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</row>
    <row r="92" spans="1:21" ht="12.75" customHeight="1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</row>
    <row r="93" spans="1:21" ht="12.75" customHeight="1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</row>
    <row r="94" spans="1:21" ht="12.75" customHeigh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</row>
    <row r="95" spans="1:21" ht="12.75" customHeight="1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</row>
    <row r="96" spans="1:21" ht="12.75" customHeight="1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</row>
    <row r="97" spans="1:21" ht="12.75" customHeight="1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</row>
    <row r="98" spans="1:21" ht="12.75" customHeight="1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</row>
    <row r="99" spans="1:21" ht="12.75" customHeight="1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</row>
    <row r="100" spans="1:21" ht="12.75" customHeight="1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</row>
    <row r="101" spans="1:21" ht="12.75" customHeight="1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</row>
    <row r="102" spans="1:21" ht="12.75" customHeight="1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</row>
    <row r="103" spans="1:21" ht="12.75" customHeight="1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</row>
    <row r="104" spans="1:21" ht="12.75" customHeight="1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</row>
    <row r="105" spans="1:21" ht="12.75" customHeight="1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</row>
    <row r="106" spans="1:21" ht="12.75" customHeight="1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</row>
    <row r="107" spans="1:21" ht="12.75" customHeight="1" x14ac:dyDescent="0.2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</row>
    <row r="108" spans="1:21" ht="12.75" customHeight="1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</row>
    <row r="109" spans="1:21" ht="12.75" customHeight="1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</row>
    <row r="110" spans="1:21" ht="12.75" customHeight="1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</row>
    <row r="111" spans="1:21" ht="12.75" customHeight="1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</row>
    <row r="112" spans="1:21" ht="12.75" customHeight="1" x14ac:dyDescent="0.2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</row>
    <row r="113" spans="1:21" ht="12.75" customHeight="1" x14ac:dyDescent="0.2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</row>
    <row r="114" spans="1:21" ht="12.75" customHeight="1" x14ac:dyDescent="0.2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</row>
    <row r="115" spans="1:21" ht="12.75" customHeight="1" x14ac:dyDescent="0.2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</row>
    <row r="116" spans="1:21" ht="12.75" customHeight="1" x14ac:dyDescent="0.2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</row>
    <row r="117" spans="1:21" ht="12.75" customHeight="1" x14ac:dyDescent="0.2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</row>
    <row r="118" spans="1:21" ht="12.75" customHeight="1" x14ac:dyDescent="0.2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</row>
    <row r="119" spans="1:21" ht="12.7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</row>
    <row r="120" spans="1:21" ht="12.75" customHeight="1" x14ac:dyDescent="0.2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</row>
    <row r="121" spans="1:21" ht="12.75" customHeight="1" x14ac:dyDescent="0.2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</row>
    <row r="122" spans="1:21" ht="12.75" customHeight="1" x14ac:dyDescent="0.2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</row>
    <row r="123" spans="1:21" ht="12.75" customHeight="1" x14ac:dyDescent="0.2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</row>
    <row r="124" spans="1:21" ht="12.75" customHeight="1" x14ac:dyDescent="0.2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</row>
    <row r="125" spans="1:21" ht="12.75" customHeight="1" x14ac:dyDescent="0.2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</row>
    <row r="126" spans="1:21" ht="12.75" customHeight="1" x14ac:dyDescent="0.2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</row>
    <row r="127" spans="1:21" ht="12.75" customHeight="1" x14ac:dyDescent="0.2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</row>
    <row r="128" spans="1:21" ht="12.75" customHeight="1" x14ac:dyDescent="0.2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</row>
    <row r="129" spans="1:21" ht="12.75" customHeight="1" x14ac:dyDescent="0.2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</row>
    <row r="130" spans="1:21" ht="12.75" customHeight="1" x14ac:dyDescent="0.2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</row>
    <row r="131" spans="1:21" ht="12.75" customHeight="1" x14ac:dyDescent="0.2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</row>
    <row r="132" spans="1:21" ht="12.75" customHeight="1" x14ac:dyDescent="0.2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</row>
    <row r="133" spans="1:21" ht="12.75" customHeight="1" x14ac:dyDescent="0.2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</row>
    <row r="134" spans="1:21" ht="12.75" customHeight="1" x14ac:dyDescent="0.2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</row>
    <row r="135" spans="1:21" ht="12.75" customHeight="1" x14ac:dyDescent="0.2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</row>
    <row r="136" spans="1:21" ht="12.75" customHeight="1" x14ac:dyDescent="0.2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</row>
    <row r="137" spans="1:21" ht="12.75" customHeight="1" x14ac:dyDescent="0.2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</row>
    <row r="138" spans="1:21" ht="12.75" customHeight="1" x14ac:dyDescent="0.2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</row>
    <row r="139" spans="1:21" ht="12.75" customHeight="1" x14ac:dyDescent="0.2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</row>
    <row r="140" spans="1:21" ht="12.75" customHeight="1" x14ac:dyDescent="0.2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</row>
    <row r="141" spans="1:21" ht="12.75" customHeight="1" x14ac:dyDescent="0.2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</row>
    <row r="142" spans="1:21" ht="12.75" customHeight="1" x14ac:dyDescent="0.2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</row>
    <row r="143" spans="1:21" ht="12.75" customHeight="1" x14ac:dyDescent="0.2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</row>
    <row r="144" spans="1:21" ht="12.75" customHeight="1" x14ac:dyDescent="0.2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</row>
    <row r="145" spans="1:21" ht="12.75" customHeight="1" x14ac:dyDescent="0.2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</row>
    <row r="146" spans="1:21" ht="12.75" customHeight="1" x14ac:dyDescent="0.2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</row>
    <row r="147" spans="1:21" ht="12.75" customHeight="1" x14ac:dyDescent="0.2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</row>
    <row r="148" spans="1:21" ht="12.7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</row>
    <row r="149" spans="1:21" ht="12.75" customHeight="1" x14ac:dyDescent="0.2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</row>
    <row r="150" spans="1:21" ht="12.75" customHeight="1" x14ac:dyDescent="0.2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</row>
    <row r="151" spans="1:21" ht="12.75" customHeight="1" x14ac:dyDescent="0.2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</row>
    <row r="152" spans="1:21" ht="12.75" customHeight="1" x14ac:dyDescent="0.2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</row>
    <row r="153" spans="1:21" ht="12.75" customHeight="1" x14ac:dyDescent="0.2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</row>
    <row r="154" spans="1:21" ht="12.75" customHeight="1" x14ac:dyDescent="0.2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</row>
    <row r="155" spans="1:21" ht="12.75" customHeight="1" x14ac:dyDescent="0.2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</row>
    <row r="156" spans="1:21" ht="12.75" customHeight="1" x14ac:dyDescent="0.2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</row>
    <row r="157" spans="1:21" ht="12.75" customHeight="1" x14ac:dyDescent="0.2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</row>
    <row r="158" spans="1:21" ht="12.75" customHeight="1" x14ac:dyDescent="0.2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</row>
    <row r="159" spans="1:21" ht="12.75" customHeight="1" x14ac:dyDescent="0.2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</row>
    <row r="160" spans="1:21" ht="12.75" customHeight="1" x14ac:dyDescent="0.2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</row>
    <row r="161" spans="1:21" ht="12.75" customHeight="1" x14ac:dyDescent="0.2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</row>
    <row r="162" spans="1:21" ht="12.75" customHeight="1" x14ac:dyDescent="0.2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</row>
    <row r="163" spans="1:21" ht="12.75" customHeight="1" x14ac:dyDescent="0.2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</row>
    <row r="164" spans="1:21" ht="12.75" customHeight="1" x14ac:dyDescent="0.2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</row>
    <row r="165" spans="1:21" ht="12.75" customHeight="1" x14ac:dyDescent="0.2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</row>
    <row r="166" spans="1:21" ht="12.75" customHeight="1" x14ac:dyDescent="0.2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</row>
    <row r="167" spans="1:21" ht="12.75" customHeight="1" x14ac:dyDescent="0.2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</row>
    <row r="168" spans="1:21" ht="12.75" customHeight="1" x14ac:dyDescent="0.2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</row>
    <row r="169" spans="1:21" ht="12.75" customHeight="1" x14ac:dyDescent="0.2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</row>
    <row r="170" spans="1:21" ht="12.75" customHeight="1" x14ac:dyDescent="0.2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</row>
    <row r="171" spans="1:21" ht="12.75" customHeight="1" x14ac:dyDescent="0.2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</row>
    <row r="172" spans="1:21" ht="12.75" customHeight="1" x14ac:dyDescent="0.2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</row>
    <row r="173" spans="1:21" ht="12.75" customHeight="1" x14ac:dyDescent="0.2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</row>
    <row r="174" spans="1:21" ht="12.75" customHeight="1" x14ac:dyDescent="0.2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</row>
    <row r="175" spans="1:21" ht="12.75" customHeight="1" x14ac:dyDescent="0.2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</row>
    <row r="176" spans="1:21" ht="12.75" customHeight="1" x14ac:dyDescent="0.2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</row>
    <row r="177" spans="1:21" ht="12.7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</row>
    <row r="178" spans="1:21" ht="12.75" customHeight="1" x14ac:dyDescent="0.2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</row>
    <row r="179" spans="1:21" ht="12.75" customHeight="1" x14ac:dyDescent="0.2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</row>
    <row r="180" spans="1:21" ht="12.75" customHeight="1" x14ac:dyDescent="0.2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</row>
    <row r="181" spans="1:21" ht="12.75" customHeight="1" x14ac:dyDescent="0.2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</row>
    <row r="182" spans="1:21" ht="12.75" customHeight="1" x14ac:dyDescent="0.2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</row>
    <row r="183" spans="1:21" ht="12.75" customHeight="1" x14ac:dyDescent="0.2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</row>
    <row r="184" spans="1:21" ht="12.75" customHeight="1" x14ac:dyDescent="0.2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</row>
    <row r="185" spans="1:21" ht="12.75" customHeight="1" x14ac:dyDescent="0.2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</row>
    <row r="186" spans="1:21" ht="12.75" customHeight="1" x14ac:dyDescent="0.2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</row>
    <row r="187" spans="1:21" ht="12.75" customHeight="1" x14ac:dyDescent="0.2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</row>
    <row r="188" spans="1:21" ht="12.75" customHeight="1" x14ac:dyDescent="0.2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</row>
    <row r="189" spans="1:21" ht="12.75" customHeight="1" x14ac:dyDescent="0.2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</row>
    <row r="190" spans="1:21" ht="12.75" customHeight="1" x14ac:dyDescent="0.2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</row>
    <row r="191" spans="1:21" ht="12.75" customHeight="1" x14ac:dyDescent="0.2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</row>
    <row r="192" spans="1:21" ht="12.75" customHeight="1" x14ac:dyDescent="0.2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</row>
    <row r="193" spans="1:21" ht="12.75" customHeight="1" x14ac:dyDescent="0.2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</row>
    <row r="194" spans="1:21" ht="12.75" customHeight="1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</row>
    <row r="195" spans="1:21" ht="12.75" customHeight="1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</row>
    <row r="196" spans="1:21" ht="12.75" customHeight="1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</row>
    <row r="197" spans="1:21" ht="12.75" customHeight="1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</row>
    <row r="198" spans="1:21" ht="12.75" customHeight="1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</row>
    <row r="199" spans="1:21" ht="12.75" customHeight="1" x14ac:dyDescent="0.2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</row>
    <row r="200" spans="1:21" ht="12.75" customHeight="1" x14ac:dyDescent="0.2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</row>
    <row r="201" spans="1:21" ht="12.75" customHeight="1" x14ac:dyDescent="0.2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</row>
    <row r="202" spans="1:21" ht="12.75" customHeight="1" x14ac:dyDescent="0.2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</row>
    <row r="203" spans="1:21" ht="12.75" customHeight="1" x14ac:dyDescent="0.2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</row>
    <row r="204" spans="1:21" ht="12.75" customHeight="1" x14ac:dyDescent="0.2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</row>
    <row r="205" spans="1:21" ht="12.75" customHeight="1" x14ac:dyDescent="0.2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</row>
    <row r="206" spans="1:21" ht="12.7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</row>
    <row r="207" spans="1:21" ht="12.75" customHeight="1" x14ac:dyDescent="0.2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</row>
    <row r="208" spans="1:21" ht="12.75" customHeight="1" x14ac:dyDescent="0.2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</row>
    <row r="209" spans="1:21" ht="12.75" customHeight="1" x14ac:dyDescent="0.2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</row>
    <row r="210" spans="1:21" ht="12.75" customHeight="1" x14ac:dyDescent="0.2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</row>
    <row r="211" spans="1:21" ht="12.75" customHeight="1" x14ac:dyDescent="0.2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</row>
    <row r="212" spans="1:21" ht="12.75" customHeight="1" x14ac:dyDescent="0.2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</row>
    <row r="213" spans="1:21" ht="12.75" customHeight="1" x14ac:dyDescent="0.2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</row>
    <row r="214" spans="1:21" ht="12.75" customHeight="1" x14ac:dyDescent="0.2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</row>
    <row r="215" spans="1:21" ht="12.75" customHeight="1" x14ac:dyDescent="0.2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</row>
    <row r="216" spans="1:21" ht="12.75" customHeight="1" x14ac:dyDescent="0.2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</row>
    <row r="217" spans="1:21" ht="12.75" customHeight="1" x14ac:dyDescent="0.2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</row>
    <row r="218" spans="1:21" ht="12.75" customHeight="1" x14ac:dyDescent="0.2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</row>
    <row r="219" spans="1:21" ht="12.75" customHeight="1" x14ac:dyDescent="0.2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</row>
    <row r="220" spans="1:21" ht="12.75" customHeight="1" x14ac:dyDescent="0.2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</row>
    <row r="221" spans="1:21" ht="12.75" customHeight="1" x14ac:dyDescent="0.2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</row>
    <row r="222" spans="1:21" ht="12.75" customHeight="1" x14ac:dyDescent="0.2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</row>
    <row r="223" spans="1:21" ht="12.75" customHeight="1" x14ac:dyDescent="0.2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</row>
    <row r="224" spans="1:21" ht="12.75" customHeight="1" x14ac:dyDescent="0.2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</row>
    <row r="225" spans="1:21" ht="12.75" customHeight="1" x14ac:dyDescent="0.2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</row>
    <row r="226" spans="1:21" ht="12.75" customHeight="1" x14ac:dyDescent="0.2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</row>
    <row r="227" spans="1:21" ht="12.75" customHeight="1" x14ac:dyDescent="0.2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</row>
    <row r="228" spans="1:21" ht="15.75" customHeight="1" x14ac:dyDescent="0.2"/>
    <row r="229" spans="1:21" ht="15.75" customHeight="1" x14ac:dyDescent="0.2"/>
    <row r="230" spans="1:21" ht="15.75" customHeight="1" x14ac:dyDescent="0.2"/>
    <row r="231" spans="1:21" ht="15.75" customHeight="1" x14ac:dyDescent="0.2"/>
    <row r="232" spans="1:21" ht="15.75" customHeight="1" x14ac:dyDescent="0.2"/>
    <row r="233" spans="1:21" ht="15.75" customHeight="1" x14ac:dyDescent="0.2"/>
    <row r="234" spans="1:21" ht="15.75" customHeight="1" x14ac:dyDescent="0.2"/>
    <row r="235" spans="1:21" ht="15.75" customHeight="1" x14ac:dyDescent="0.2"/>
    <row r="236" spans="1:21" ht="15.75" customHeight="1" x14ac:dyDescent="0.2"/>
    <row r="237" spans="1:21" ht="15.75" customHeight="1" x14ac:dyDescent="0.2"/>
    <row r="238" spans="1:21" ht="15.75" customHeight="1" x14ac:dyDescent="0.2"/>
    <row r="239" spans="1:21" ht="15.75" customHeight="1" x14ac:dyDescent="0.2"/>
    <row r="240" spans="1:2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90551181102362199" right="0.5118110236220472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Transporte de Resíduos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Burmeister Martins</dc:creator>
  <cp:lastModifiedBy>pmsap</cp:lastModifiedBy>
  <dcterms:created xsi:type="dcterms:W3CDTF">2000-12-13T10:02:50Z</dcterms:created>
  <dcterms:modified xsi:type="dcterms:W3CDTF">2023-11-09T16:36:14Z</dcterms:modified>
</cp:coreProperties>
</file>