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25" windowWidth="8310" windowHeight="10530" activeTab="1"/>
  </bookViews>
  <sheets>
    <sheet name="Vigia 12NOITE LP" sheetId="1" r:id="rId1"/>
    <sheet name="Vigia 12DIA LP" sheetId="2" r:id="rId2"/>
  </sheets>
  <calcPr calcId="144525"/>
  <extLst>
    <ext uri="GoogleSheetsCustomDataVersion1">
      <go:sheetsCustomData xmlns:go="http://customooxmlschemas.google.com/" r:id="rId6" roundtripDataSignature="AMtx7mgjuDr4OXUtr4gVTlwWDKYi6tFc2w=="/>
    </ext>
  </extLst>
</workbook>
</file>

<file path=xl/calcChain.xml><?xml version="1.0" encoding="utf-8"?>
<calcChain xmlns="http://schemas.openxmlformats.org/spreadsheetml/2006/main">
  <c r="E40" i="1" l="1"/>
  <c r="D163" i="2" l="1"/>
  <c r="D162" i="2"/>
  <c r="D141" i="2"/>
  <c r="E141" i="2" s="1"/>
  <c r="D140" i="2"/>
  <c r="E140" i="2" s="1"/>
  <c r="E142" i="2" s="1"/>
  <c r="E150" i="2" s="1"/>
  <c r="E170" i="2" s="1"/>
  <c r="G135" i="2"/>
  <c r="E135" i="2"/>
  <c r="G134" i="2"/>
  <c r="E134" i="2"/>
  <c r="G133" i="2"/>
  <c r="E133" i="2"/>
  <c r="G132" i="2"/>
  <c r="E132" i="2"/>
  <c r="G131" i="2"/>
  <c r="E131" i="2"/>
  <c r="G130" i="2"/>
  <c r="E130" i="2"/>
  <c r="G129" i="2"/>
  <c r="E129" i="2"/>
  <c r="G128" i="2"/>
  <c r="E128" i="2"/>
  <c r="G127" i="2"/>
  <c r="E127" i="2"/>
  <c r="G126" i="2"/>
  <c r="G136" i="2" s="1"/>
  <c r="E126" i="2"/>
  <c r="G125" i="2"/>
  <c r="E125" i="2"/>
  <c r="G124" i="2"/>
  <c r="E124" i="2"/>
  <c r="E136" i="2" s="1"/>
  <c r="E83" i="2"/>
  <c r="E82" i="2"/>
  <c r="E81" i="2"/>
  <c r="E86" i="2" s="1"/>
  <c r="E92" i="2" s="1"/>
  <c r="D77" i="2"/>
  <c r="D105" i="2" s="1"/>
  <c r="D75" i="2"/>
  <c r="D62" i="2"/>
  <c r="E57" i="2"/>
  <c r="E56" i="2"/>
  <c r="E55" i="2"/>
  <c r="E43" i="2"/>
  <c r="E42" i="2"/>
  <c r="E41" i="2"/>
  <c r="E40" i="2"/>
  <c r="E39" i="2"/>
  <c r="E38" i="2"/>
  <c r="E37" i="2"/>
  <c r="E36" i="2"/>
  <c r="E35" i="2"/>
  <c r="E34" i="2"/>
  <c r="E33" i="2"/>
  <c r="E32" i="2"/>
  <c r="E44" i="2" s="1"/>
  <c r="C27" i="2"/>
  <c r="E22" i="2"/>
  <c r="D168" i="1"/>
  <c r="D167" i="1"/>
  <c r="D146" i="1"/>
  <c r="E146" i="1" s="1"/>
  <c r="E145" i="1"/>
  <c r="E147" i="1" s="1"/>
  <c r="E155" i="1" s="1"/>
  <c r="E175" i="1" s="1"/>
  <c r="D145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G141" i="1" s="1"/>
  <c r="E129" i="1"/>
  <c r="E141" i="1" s="1"/>
  <c r="D110" i="1"/>
  <c r="E88" i="1"/>
  <c r="E87" i="1"/>
  <c r="E86" i="1"/>
  <c r="E91" i="1" s="1"/>
  <c r="E97" i="1" s="1"/>
  <c r="D82" i="1"/>
  <c r="D80" i="1"/>
  <c r="D67" i="1"/>
  <c r="E57" i="1"/>
  <c r="E43" i="1"/>
  <c r="E42" i="1"/>
  <c r="E41" i="1"/>
  <c r="E39" i="1"/>
  <c r="E38" i="1"/>
  <c r="E37" i="1"/>
  <c r="E36" i="1"/>
  <c r="E44" i="1" s="1"/>
  <c r="E35" i="1"/>
  <c r="E34" i="1"/>
  <c r="E33" i="1"/>
  <c r="E32" i="1"/>
  <c r="C27" i="1"/>
  <c r="E22" i="1"/>
  <c r="E62" i="2" l="1"/>
  <c r="E166" i="2"/>
  <c r="E59" i="1"/>
  <c r="E63" i="2"/>
  <c r="E58" i="1"/>
  <c r="E146" i="2"/>
  <c r="E64" i="2" l="1"/>
  <c r="E61" i="1"/>
  <c r="E60" i="1"/>
  <c r="E62" i="1"/>
  <c r="E68" i="1" l="1"/>
  <c r="E171" i="1"/>
  <c r="E67" i="1"/>
  <c r="E69" i="1" s="1"/>
  <c r="E151" i="1"/>
  <c r="E90" i="2"/>
  <c r="E110" i="2"/>
  <c r="E111" i="2" s="1"/>
  <c r="E116" i="2" s="1"/>
  <c r="E100" i="2"/>
  <c r="E106" i="2"/>
  <c r="C67" i="2"/>
  <c r="E95" i="1" l="1"/>
  <c r="E115" i="1"/>
  <c r="E116" i="1" s="1"/>
  <c r="E121" i="1" s="1"/>
  <c r="E76" i="2"/>
  <c r="E69" i="2"/>
  <c r="E68" i="2"/>
  <c r="E75" i="2" s="1"/>
  <c r="E77" i="2" s="1"/>
  <c r="E91" i="2" s="1"/>
  <c r="E93" i="2" s="1"/>
  <c r="E71" i="2"/>
  <c r="E74" i="2"/>
  <c r="E73" i="2"/>
  <c r="E72" i="2"/>
  <c r="E70" i="2"/>
  <c r="E105" i="1"/>
  <c r="C72" i="1"/>
  <c r="E111" i="1"/>
  <c r="E147" i="2" l="1"/>
  <c r="E167" i="2"/>
  <c r="E98" i="2"/>
  <c r="E104" i="2"/>
  <c r="E76" i="1"/>
  <c r="E75" i="1"/>
  <c r="E74" i="1"/>
  <c r="E79" i="1"/>
  <c r="E78" i="1"/>
  <c r="E81" i="1"/>
  <c r="E77" i="1"/>
  <c r="E73" i="1"/>
  <c r="E80" i="1" l="1"/>
  <c r="E82" i="1" s="1"/>
  <c r="E96" i="1" s="1"/>
  <c r="E98" i="1" s="1"/>
  <c r="E99" i="2"/>
  <c r="E101" i="2" s="1"/>
  <c r="E105" i="2"/>
  <c r="E107" i="2" s="1"/>
  <c r="E115" i="2" s="1"/>
  <c r="E114" i="2" l="1"/>
  <c r="E117" i="2" s="1"/>
  <c r="A123" i="2"/>
  <c r="E152" i="1"/>
  <c r="E172" i="1"/>
  <c r="E109" i="1"/>
  <c r="E103" i="1"/>
  <c r="E104" i="1" l="1"/>
  <c r="E106" i="1"/>
  <c r="H133" i="2"/>
  <c r="H125" i="2"/>
  <c r="H130" i="2"/>
  <c r="H131" i="2"/>
  <c r="H128" i="2"/>
  <c r="H135" i="2"/>
  <c r="H127" i="2"/>
  <c r="H132" i="2"/>
  <c r="H124" i="2"/>
  <c r="H129" i="2"/>
  <c r="H134" i="2"/>
  <c r="H126" i="2"/>
  <c r="E110" i="1"/>
  <c r="E112" i="1" s="1"/>
  <c r="E120" i="1" s="1"/>
  <c r="E148" i="2"/>
  <c r="E168" i="2"/>
  <c r="H136" i="2" l="1"/>
  <c r="E149" i="2" s="1"/>
  <c r="E169" i="2" s="1"/>
  <c r="E119" i="1"/>
  <c r="E122" i="1" s="1"/>
  <c r="A128" i="1"/>
  <c r="E151" i="2"/>
  <c r="H136" i="1" l="1"/>
  <c r="H134" i="1"/>
  <c r="H133" i="1"/>
  <c r="H138" i="1"/>
  <c r="H130" i="1"/>
  <c r="H129" i="1"/>
  <c r="H139" i="1"/>
  <c r="H131" i="1"/>
  <c r="H135" i="1"/>
  <c r="H140" i="1"/>
  <c r="H132" i="1"/>
  <c r="H137" i="1"/>
  <c r="C155" i="2"/>
  <c r="E155" i="2" s="1"/>
  <c r="E153" i="1"/>
  <c r="E173" i="1"/>
  <c r="H141" i="1" l="1"/>
  <c r="E154" i="1" s="1"/>
  <c r="E174" i="1" s="1"/>
  <c r="C156" i="2"/>
  <c r="E156" i="2" l="1"/>
  <c r="C161" i="2"/>
  <c r="E161" i="2" s="1"/>
  <c r="C160" i="2"/>
  <c r="E160" i="2" s="1"/>
  <c r="C159" i="2"/>
  <c r="E159" i="2" s="1"/>
  <c r="E162" i="2" s="1"/>
  <c r="E156" i="1"/>
  <c r="C160" i="1" l="1"/>
  <c r="E160" i="1" s="1"/>
  <c r="E163" i="2"/>
  <c r="E171" i="2" s="1"/>
  <c r="E172" i="2" s="1"/>
  <c r="F176" i="2" l="1"/>
  <c r="G176" i="2" s="1"/>
  <c r="E176" i="2"/>
  <c r="C161" i="1"/>
  <c r="E161" i="1" l="1"/>
  <c r="C166" i="1"/>
  <c r="E166" i="1" s="1"/>
  <c r="C165" i="1" l="1"/>
  <c r="E165" i="1" s="1"/>
  <c r="C164" i="1"/>
  <c r="E164" i="1" s="1"/>
  <c r="E167" i="1" s="1"/>
  <c r="E168" i="1" s="1"/>
  <c r="E176" i="1" s="1"/>
  <c r="E177" i="1" s="1"/>
  <c r="E175" i="2" l="1"/>
  <c r="F175" i="2"/>
  <c r="F177" i="2" l="1"/>
  <c r="G175" i="2"/>
  <c r="G177" i="2" s="1"/>
</calcChain>
</file>

<file path=xl/sharedStrings.xml><?xml version="1.0" encoding="utf-8"?>
<sst xmlns="http://schemas.openxmlformats.org/spreadsheetml/2006/main" count="393" uniqueCount="154">
  <si>
    <t>PREFEITURA MUNICIPAL DE SANTO ANTÔNIO DA PATRULHA - RS</t>
  </si>
  <si>
    <t>PLANILHA - SERVIÇOS DE VIGIA - SECTE</t>
  </si>
  <si>
    <t>Dados da CCT</t>
  </si>
  <si>
    <t>Município/UF</t>
  </si>
  <si>
    <t>Santo Antônio da Patrulha/RS</t>
  </si>
  <si>
    <t>Serviço</t>
  </si>
  <si>
    <t>Vigia</t>
  </si>
  <si>
    <t>Categoria</t>
  </si>
  <si>
    <t>Porteiro/Vigia noite</t>
  </si>
  <si>
    <t>CBO</t>
  </si>
  <si>
    <t>CCT nº</t>
  </si>
  <si>
    <t>RS000051/2021</t>
  </si>
  <si>
    <t>Data base</t>
  </si>
  <si>
    <t>1º de janeiro</t>
  </si>
  <si>
    <t xml:space="preserve">Salário normativo </t>
  </si>
  <si>
    <t>Vale-alimentação</t>
  </si>
  <si>
    <t>nº</t>
  </si>
  <si>
    <t>valor</t>
  </si>
  <si>
    <t>desconto</t>
  </si>
  <si>
    <t>Vale-transporte</t>
  </si>
  <si>
    <t>desconto prop 12x36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</si>
  <si>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</si>
  <si>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</si>
  <si>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</si>
  <si>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</si>
  <si>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</si>
  <si>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</si>
  <si>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</si>
  <si>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</si>
  <si>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</si>
  <si>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</si>
  <si>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</si>
  <si>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</si>
  <si>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</si>
  <si>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</si>
  <si>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12h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</si>
  <si>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</si>
  <si>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</si>
  <si>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</si>
  <si>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</si>
  <si>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</si>
  <si>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</si>
  <si>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</si>
  <si>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</si>
  <si>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</si>
  <si>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</si>
  <si>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</si>
  <si>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</si>
  <si>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</si>
  <si>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</si>
  <si>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</si>
  <si>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Adicional noturno</t>
  </si>
  <si>
    <t>Hora noturna reduzida 12x36</t>
  </si>
  <si>
    <t>Nº de meses de execução contratual</t>
  </si>
  <si>
    <t>Dias úteis no ano</t>
  </si>
  <si>
    <t>Média de dias mês</t>
  </si>
  <si>
    <t>Nº de horas mês</t>
  </si>
  <si>
    <t>PLANILHA DE CUSTOS -VIGIA 180H</t>
  </si>
  <si>
    <t>MÓDULO I - COMPOSIÇÃO DA REMUNERAÇÃO</t>
  </si>
  <si>
    <t>horas</t>
  </si>
  <si>
    <t>%</t>
  </si>
  <si>
    <t>R$</t>
  </si>
  <si>
    <t>Salário-Base</t>
  </si>
  <si>
    <t>Adicional Noturno</t>
  </si>
  <si>
    <t>Adicional de hora noturna reduzida</t>
  </si>
  <si>
    <t xml:space="preserve">Intrajornada </t>
  </si>
  <si>
    <t>Ref. AN no DSR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</si>
  <si>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</si>
  <si>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</si>
  <si>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</si>
  <si>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</si>
  <si>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</si>
  <si>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</si>
  <si>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</si>
  <si>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</si>
  <si>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</si>
  <si>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</si>
  <si>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</si>
  <si>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</si>
  <si>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</si>
  <si>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</si>
  <si>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</si>
  <si>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</si>
  <si>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</si>
  <si>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</si>
  <si>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</si>
  <si>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</si>
  <si>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</si>
  <si>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</si>
  <si>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</si>
  <si>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</si>
  <si>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</si>
  <si>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</si>
  <si>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</si>
  <si>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</si>
  <si>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</si>
  <si>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</si>
  <si>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</si>
  <si>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</si>
  <si>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</si>
  <si>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</si>
  <si>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</si>
  <si>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</si>
  <si>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</si>
  <si>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</si>
  <si>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</si>
  <si>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</si>
  <si>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</si>
  <si>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</si>
  <si>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</si>
  <si>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</si>
  <si>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44h</t>
  </si>
  <si>
    <t>12x36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</si>
  <si>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</si>
  <si>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</si>
  <si>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</si>
  <si>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</si>
  <si>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</si>
  <si>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</si>
  <si>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 xml:space="preserve">Camiseta masculina tradicional manga curta com gola redonda em poliviscose com serigrafia na frente, com identificação da empresa </t>
  </si>
  <si>
    <t>jaqueta em nylon impermeável forrada com matelassê, com tecido próprio para dias de chuva, com bordado na frente, com identificação da empresa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</si>
  <si>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</si>
  <si>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</si>
  <si>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</si>
  <si>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</si>
  <si>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</si>
  <si>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</si>
  <si>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</si>
  <si>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</si>
  <si>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</si>
  <si>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</si>
  <si>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</si>
  <si>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</si>
  <si>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</si>
  <si>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</si>
  <si>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</si>
  <si>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</si>
  <si>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</si>
  <si>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</si>
  <si>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</si>
  <si>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</si>
  <si>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vigia noite - mês</t>
  </si>
  <si>
    <t>Porteiro/Vigia dia finais de semana</t>
  </si>
  <si>
    <t xml:space="preserve">PLANILHA DE CUSTOS -VIGIA 60H </t>
  </si>
  <si>
    <t>Intrajornada</t>
  </si>
  <si>
    <t>Total do Vigia dia finais de semana - mês</t>
  </si>
  <si>
    <t>Custo Estimado da Contratação</t>
  </si>
  <si>
    <t>Postos de trabalho</t>
  </si>
  <si>
    <t>Quantidade de vigias</t>
  </si>
  <si>
    <t>Valor unitário</t>
  </si>
  <si>
    <t>R$ mês</t>
  </si>
  <si>
    <t>R$ anual</t>
  </si>
  <si>
    <t>Praça CEU (noite)</t>
  </si>
  <si>
    <t>Praça CEU (dia) finais de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</si>
</sst>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</numFmts>
  <fonts count="20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name val="Arial"/>
    </font>
    <font>
      <sz val="11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sz val="26"/>
      <color rgb="FFFF0000"/>
      <name val="Calibri"/>
    </font>
    <font>
      <sz val="11"/>
      <name val="Calibri"/>
    </font>
    <font>
      <b/>
      <sz val="11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rgb="FF000000"/>
      <name val="Calibri"/>
    </font>
    <font>
      <sz val="9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2" fillId="0" borderId="0" xfId="0" applyFont="1"/>
    <xf numFmtId="2" fontId="2" fillId="0" borderId="0" xfId="0" applyNumberFormat="1" applyFont="1"/>
    <xf numFmtId="165" fontId="2" fillId="0" borderId="0" xfId="0" applyNumberFormat="1" applyFont="1"/>
    <xf numFmtId="0" fontId="9" fillId="0" borderId="0" xfId="0" applyFont="1"/>
    <xf numFmtId="167" fontId="2" fillId="0" borderId="0" xfId="0" applyNumberFormat="1" applyFont="1"/>
    <xf numFmtId="10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/>
    <xf numFmtId="0" fontId="2" fillId="0" borderId="4" xfId="0" applyFont="1" applyFill="1" applyBorder="1"/>
    <xf numFmtId="2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0" fontId="2" fillId="0" borderId="5" xfId="0" applyNumberFormat="1" applyFont="1" applyFill="1" applyBorder="1" applyAlignment="1" applyProtection="1">
      <alignment horizontal="right"/>
      <protection locked="0"/>
    </xf>
    <xf numFmtId="10" fontId="2" fillId="0" borderId="0" xfId="0" applyNumberFormat="1" applyFont="1" applyFill="1" applyAlignment="1">
      <alignment horizontal="center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9" fontId="2" fillId="0" borderId="5" xfId="0" applyNumberFormat="1" applyFont="1" applyFill="1" applyBorder="1" applyAlignment="1" applyProtection="1">
      <alignment horizontal="right"/>
      <protection locked="0"/>
    </xf>
    <xf numFmtId="9" fontId="2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right"/>
    </xf>
    <xf numFmtId="9" fontId="2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5" xfId="0" applyFont="1" applyFill="1" applyBorder="1" applyAlignment="1">
      <alignment horizontal="center" wrapText="1"/>
    </xf>
    <xf numFmtId="0" fontId="2" fillId="0" borderId="5" xfId="0" applyFont="1" applyFill="1" applyBorder="1"/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165" fontId="2" fillId="0" borderId="0" xfId="0" applyNumberFormat="1" applyFont="1" applyFill="1"/>
    <xf numFmtId="0" fontId="7" fillId="0" borderId="5" xfId="0" applyFont="1" applyFill="1" applyBorder="1"/>
    <xf numFmtId="10" fontId="7" fillId="0" borderId="5" xfId="0" applyNumberFormat="1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6" fontId="2" fillId="0" borderId="0" xfId="0" applyNumberFormat="1" applyFont="1" applyFill="1" applyAlignment="1">
      <alignment horizontal="left"/>
    </xf>
    <xf numFmtId="0" fontId="7" fillId="0" borderId="6" xfId="0" applyFont="1" applyFill="1" applyBorder="1"/>
    <xf numFmtId="0" fontId="7" fillId="0" borderId="8" xfId="0" applyFont="1" applyFill="1" applyBorder="1"/>
    <xf numFmtId="10" fontId="7" fillId="0" borderId="8" xfId="0" applyNumberFormat="1" applyFont="1" applyFill="1" applyBorder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 applyProtection="1">
      <alignment horizontal="center" wrapText="1"/>
      <protection locked="0"/>
    </xf>
    <xf numFmtId="10" fontId="2" fillId="0" borderId="15" xfId="0" applyNumberFormat="1" applyFont="1" applyFill="1" applyBorder="1" applyAlignment="1" applyProtection="1">
      <alignment horizontal="center" wrapText="1"/>
      <protection locked="0"/>
    </xf>
    <xf numFmtId="167" fontId="2" fillId="0" borderId="15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14" xfId="0" applyFont="1" applyFill="1" applyBorder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 applyProtection="1">
      <alignment horizontal="center" wrapText="1"/>
      <protection locked="0"/>
    </xf>
    <xf numFmtId="10" fontId="2" fillId="0" borderId="17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 applyProtection="1">
      <alignment horizontal="center" wrapText="1"/>
      <protection locked="0"/>
    </xf>
    <xf numFmtId="10" fontId="2" fillId="0" borderId="5" xfId="0" applyNumberFormat="1" applyFont="1" applyFill="1" applyBorder="1" applyAlignment="1" applyProtection="1">
      <alignment horizontal="center" wrapText="1"/>
      <protection locked="0"/>
    </xf>
    <xf numFmtId="167" fontId="4" fillId="0" borderId="5" xfId="0" applyNumberFormat="1" applyFont="1" applyFill="1" applyBorder="1" applyProtection="1">
      <protection locked="0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10" fontId="4" fillId="0" borderId="7" xfId="0" applyNumberFormat="1" applyFont="1" applyFill="1" applyBorder="1" applyAlignment="1" applyProtection="1">
      <alignment horizontal="right"/>
      <protection locked="0"/>
    </xf>
    <xf numFmtId="9" fontId="4" fillId="0" borderId="7" xfId="0" applyNumberFormat="1" applyFont="1" applyFill="1" applyBorder="1" applyAlignment="1" applyProtection="1">
      <alignment horizontal="right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" fontId="4" fillId="0" borderId="5" xfId="0" applyNumberFormat="1" applyFont="1" applyFill="1" applyBorder="1" applyAlignment="1" applyProtection="1">
      <alignment horizontal="right"/>
      <protection locked="0"/>
    </xf>
    <xf numFmtId="1" fontId="1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165" fontId="7" fillId="0" borderId="5" xfId="0" applyNumberFormat="1" applyFont="1" applyFill="1" applyBorder="1"/>
    <xf numFmtId="165" fontId="7" fillId="0" borderId="0" xfId="0" applyNumberFormat="1" applyFont="1" applyFill="1"/>
    <xf numFmtId="9" fontId="7" fillId="0" borderId="5" xfId="0" applyNumberFormat="1" applyFont="1" applyFill="1" applyBorder="1"/>
    <xf numFmtId="0" fontId="2" fillId="0" borderId="18" xfId="0" applyFont="1" applyFill="1" applyBorder="1"/>
    <xf numFmtId="0" fontId="2" fillId="0" borderId="3" xfId="0" applyFont="1" applyFill="1" applyBorder="1"/>
    <xf numFmtId="10" fontId="7" fillId="0" borderId="5" xfId="0" applyNumberFormat="1" applyFont="1" applyFill="1" applyBorder="1" applyAlignment="1"/>
    <xf numFmtId="165" fontId="2" fillId="0" borderId="5" xfId="0" applyNumberFormat="1" applyFont="1" applyFill="1" applyBorder="1"/>
    <xf numFmtId="0" fontId="2" fillId="0" borderId="18" xfId="0" applyFont="1" applyFill="1" applyBorder="1" applyAlignment="1"/>
    <xf numFmtId="10" fontId="7" fillId="0" borderId="5" xfId="0" applyNumberFormat="1" applyFont="1" applyFill="1" applyBorder="1"/>
    <xf numFmtId="165" fontId="4" fillId="0" borderId="5" xfId="0" applyNumberFormat="1" applyFont="1" applyFill="1" applyBorder="1"/>
    <xf numFmtId="165" fontId="4" fillId="0" borderId="0" xfId="0" applyNumberFormat="1" applyFont="1" applyFill="1"/>
    <xf numFmtId="167" fontId="2" fillId="0" borderId="0" xfId="0" applyNumberFormat="1" applyFont="1" applyFill="1"/>
    <xf numFmtId="168" fontId="7" fillId="0" borderId="5" xfId="0" applyNumberFormat="1" applyFont="1" applyFill="1" applyBorder="1" applyProtection="1">
      <protection locked="0"/>
    </xf>
    <xf numFmtId="168" fontId="7" fillId="0" borderId="0" xfId="0" applyNumberFormat="1" applyFont="1" applyFill="1"/>
    <xf numFmtId="10" fontId="2" fillId="0" borderId="5" xfId="0" applyNumberFormat="1" applyFont="1" applyFill="1" applyBorder="1" applyProtection="1">
      <protection locked="0"/>
    </xf>
    <xf numFmtId="10" fontId="4" fillId="0" borderId="5" xfId="0" applyNumberFormat="1" applyFont="1" applyFill="1" applyBorder="1" applyProtection="1">
      <protection locked="0"/>
    </xf>
    <xf numFmtId="168" fontId="4" fillId="0" borderId="5" xfId="0" applyNumberFormat="1" applyFont="1" applyFill="1" applyBorder="1" applyProtection="1">
      <protection locked="0"/>
    </xf>
    <xf numFmtId="168" fontId="4" fillId="0" borderId="0" xfId="0" applyNumberFormat="1" applyFont="1" applyFill="1"/>
    <xf numFmtId="168" fontId="7" fillId="0" borderId="5" xfId="0" applyNumberFormat="1" applyFont="1" applyFill="1" applyBorder="1" applyAlignment="1">
      <alignment horizontal="right"/>
    </xf>
    <xf numFmtId="168" fontId="7" fillId="0" borderId="0" xfId="0" applyNumberFormat="1" applyFont="1" applyFill="1" applyAlignment="1">
      <alignment horizontal="right"/>
    </xf>
    <xf numFmtId="168" fontId="4" fillId="0" borderId="5" xfId="0" applyNumberFormat="1" applyFont="1" applyFill="1" applyBorder="1" applyAlignment="1">
      <alignment horizontal="right"/>
    </xf>
    <xf numFmtId="168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2" fillId="0" borderId="5" xfId="0" applyNumberFormat="1" applyFont="1" applyFill="1" applyBorder="1"/>
    <xf numFmtId="4" fontId="2" fillId="0" borderId="0" xfId="0" applyNumberFormat="1" applyFont="1" applyFill="1"/>
    <xf numFmtId="4" fontId="4" fillId="0" borderId="5" xfId="0" applyNumberFormat="1" applyFont="1" applyFill="1" applyBorder="1"/>
    <xf numFmtId="4" fontId="4" fillId="0" borderId="0" xfId="0" applyNumberFormat="1" applyFont="1" applyFill="1"/>
    <xf numFmtId="0" fontId="4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0" xfId="0" applyFont="1" applyFill="1"/>
    <xf numFmtId="9" fontId="11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/>
    <xf numFmtId="9" fontId="2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/>
    <xf numFmtId="2" fontId="1" fillId="0" borderId="0" xfId="0" applyNumberFormat="1" applyFont="1" applyFill="1"/>
    <xf numFmtId="169" fontId="2" fillId="0" borderId="0" xfId="0" applyNumberFormat="1" applyFont="1" applyFill="1"/>
    <xf numFmtId="0" fontId="4" fillId="0" borderId="0" xfId="0" applyFont="1" applyFill="1" applyAlignment="1">
      <alignment horizontal="right" wrapText="1"/>
    </xf>
    <xf numFmtId="9" fontId="7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10" fontId="2" fillId="0" borderId="5" xfId="0" applyNumberFormat="1" applyFont="1" applyFill="1" applyBorder="1"/>
    <xf numFmtId="2" fontId="9" fillId="0" borderId="5" xfId="0" applyNumberFormat="1" applyFont="1" applyFill="1" applyBorder="1"/>
    <xf numFmtId="2" fontId="9" fillId="0" borderId="0" xfId="0" applyNumberFormat="1" applyFont="1" applyFill="1"/>
    <xf numFmtId="0" fontId="8" fillId="0" borderId="0" xfId="0" applyFont="1" applyFill="1"/>
    <xf numFmtId="0" fontId="4" fillId="0" borderId="5" xfId="0" applyFont="1" applyFill="1" applyBorder="1"/>
    <xf numFmtId="2" fontId="12" fillId="0" borderId="5" xfId="0" applyNumberFormat="1" applyFont="1" applyFill="1" applyBorder="1"/>
    <xf numFmtId="2" fontId="12" fillId="0" borderId="0" xfId="0" applyNumberFormat="1" applyFont="1" applyFill="1"/>
    <xf numFmtId="0" fontId="4" fillId="0" borderId="2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2" fontId="4" fillId="0" borderId="5" xfId="0" applyNumberFormat="1" applyFont="1" applyFill="1" applyBorder="1"/>
    <xf numFmtId="0" fontId="13" fillId="0" borderId="5" xfId="0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 wrapText="1"/>
    </xf>
    <xf numFmtId="167" fontId="14" fillId="0" borderId="5" xfId="0" applyNumberFormat="1" applyFont="1" applyFill="1" applyBorder="1"/>
    <xf numFmtId="0" fontId="14" fillId="0" borderId="5" xfId="0" applyFont="1" applyFill="1" applyBorder="1" applyAlignment="1">
      <alignment horizontal="left" wrapText="1"/>
    </xf>
    <xf numFmtId="167" fontId="14" fillId="0" borderId="5" xfId="0" applyNumberFormat="1" applyFont="1" applyFill="1" applyBorder="1" applyAlignment="1" applyProtection="1">
      <alignment horizontal="center" wrapText="1"/>
      <protection locked="0"/>
    </xf>
    <xf numFmtId="0" fontId="14" fillId="0" borderId="5" xfId="0" applyFont="1" applyFill="1" applyBorder="1" applyAlignment="1" applyProtection="1">
      <alignment horizontal="center" wrapText="1"/>
      <protection locked="0"/>
    </xf>
    <xf numFmtId="10" fontId="14" fillId="0" borderId="5" xfId="0" applyNumberFormat="1" applyFont="1" applyFill="1" applyBorder="1" applyAlignment="1" applyProtection="1">
      <alignment horizontal="center" wrapText="1"/>
      <protection locked="0"/>
    </xf>
    <xf numFmtId="167" fontId="14" fillId="0" borderId="5" xfId="0" applyNumberFormat="1" applyFont="1" applyFill="1" applyBorder="1" applyAlignment="1" applyProtection="1">
      <alignment wrapText="1"/>
      <protection locked="0"/>
    </xf>
    <xf numFmtId="167" fontId="14" fillId="0" borderId="2" xfId="0" applyNumberFormat="1" applyFont="1" applyFill="1" applyBorder="1" applyProtection="1">
      <protection locked="0"/>
    </xf>
    <xf numFmtId="167" fontId="14" fillId="0" borderId="5" xfId="0" applyNumberFormat="1" applyFont="1" applyFill="1" applyBorder="1" applyProtection="1">
      <protection locked="0"/>
    </xf>
    <xf numFmtId="0" fontId="14" fillId="0" borderId="5" xfId="0" applyFont="1" applyFill="1" applyBorder="1" applyAlignment="1">
      <alignment wrapText="1"/>
    </xf>
    <xf numFmtId="167" fontId="13" fillId="0" borderId="5" xfId="0" applyNumberFormat="1" applyFont="1" applyFill="1" applyBorder="1" applyProtection="1">
      <protection locked="0"/>
    </xf>
    <xf numFmtId="9" fontId="13" fillId="0" borderId="5" xfId="0" applyNumberFormat="1" applyFont="1" applyFill="1" applyBorder="1" applyProtection="1">
      <protection locked="0"/>
    </xf>
    <xf numFmtId="167" fontId="13" fillId="0" borderId="2" xfId="0" applyNumberFormat="1" applyFont="1" applyFill="1" applyBorder="1" applyProtection="1">
      <protection locked="0"/>
    </xf>
    <xf numFmtId="2" fontId="13" fillId="0" borderId="5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4" fontId="7" fillId="0" borderId="5" xfId="0" applyNumberFormat="1" applyFont="1" applyFill="1" applyBorder="1" applyProtection="1">
      <protection locked="0"/>
    </xf>
    <xf numFmtId="4" fontId="7" fillId="0" borderId="0" xfId="0" applyNumberFormat="1" applyFont="1" applyFill="1"/>
    <xf numFmtId="0" fontId="16" fillId="0" borderId="21" xfId="0" applyFont="1" applyFill="1" applyBorder="1" applyAlignment="1">
      <alignment horizontal="center" wrapText="1"/>
    </xf>
    <xf numFmtId="4" fontId="4" fillId="0" borderId="5" xfId="0" applyNumberFormat="1" applyFont="1" applyFill="1" applyBorder="1" applyProtection="1">
      <protection locked="0"/>
    </xf>
    <xf numFmtId="0" fontId="15" fillId="0" borderId="0" xfId="0" applyFont="1" applyFill="1" applyAlignment="1">
      <alignment wrapText="1"/>
    </xf>
    <xf numFmtId="4" fontId="7" fillId="0" borderId="5" xfId="0" applyNumberFormat="1" applyFont="1" applyFill="1" applyBorder="1"/>
    <xf numFmtId="0" fontId="2" fillId="0" borderId="3" xfId="0" applyFont="1" applyFill="1" applyBorder="1" applyAlignment="1">
      <alignment horizontal="center"/>
    </xf>
    <xf numFmtId="165" fontId="4" fillId="0" borderId="4" xfId="0" applyNumberFormat="1" applyFont="1" applyFill="1" applyBorder="1"/>
    <xf numFmtId="2" fontId="7" fillId="0" borderId="5" xfId="0" applyNumberFormat="1" applyFont="1" applyFill="1" applyBorder="1"/>
    <xf numFmtId="2" fontId="7" fillId="0" borderId="0" xfId="0" applyNumberFormat="1" applyFont="1" applyFill="1"/>
    <xf numFmtId="10" fontId="4" fillId="0" borderId="5" xfId="0" applyNumberFormat="1" applyFont="1" applyFill="1" applyBorder="1"/>
    <xf numFmtId="10" fontId="4" fillId="0" borderId="4" xfId="0" applyNumberFormat="1" applyFont="1" applyFill="1" applyBorder="1"/>
    <xf numFmtId="168" fontId="4" fillId="0" borderId="5" xfId="0" applyNumberFormat="1" applyFont="1" applyFill="1" applyBorder="1"/>
    <xf numFmtId="168" fontId="2" fillId="0" borderId="5" xfId="0" applyNumberFormat="1" applyFont="1" applyFill="1" applyBorder="1"/>
    <xf numFmtId="168" fontId="2" fillId="0" borderId="0" xfId="0" applyNumberFormat="1" applyFont="1" applyFill="1"/>
    <xf numFmtId="4" fontId="1" fillId="0" borderId="5" xfId="0" applyNumberFormat="1" applyFont="1" applyFill="1" applyBorder="1"/>
    <xf numFmtId="4" fontId="12" fillId="0" borderId="0" xfId="0" applyNumberFormat="1" applyFont="1" applyFill="1"/>
    <xf numFmtId="0" fontId="12" fillId="0" borderId="8" xfId="0" applyFont="1" applyFill="1" applyBorder="1" applyAlignment="1">
      <alignment horizontal="right"/>
    </xf>
    <xf numFmtId="0" fontId="0" fillId="0" borderId="0" xfId="0" applyFont="1" applyFill="1" applyAlignment="1"/>
    <xf numFmtId="0" fontId="12" fillId="0" borderId="0" xfId="0" applyFont="1" applyFill="1" applyAlignment="1">
      <alignment horizontal="right"/>
    </xf>
    <xf numFmtId="0" fontId="9" fillId="0" borderId="0" xfId="0" applyFont="1" applyFill="1" applyAlignment="1"/>
    <xf numFmtId="0" fontId="17" fillId="0" borderId="0" xfId="0" applyFont="1" applyFill="1" applyAlignment="1"/>
    <xf numFmtId="0" fontId="17" fillId="0" borderId="5" xfId="0" applyFont="1" applyFill="1" applyBorder="1"/>
    <xf numFmtId="2" fontId="17" fillId="0" borderId="5" xfId="0" applyNumberFormat="1" applyFont="1" applyFill="1" applyBorder="1"/>
    <xf numFmtId="9" fontId="13" fillId="0" borderId="5" xfId="0" applyNumberFormat="1" applyFont="1" applyFill="1" applyBorder="1"/>
    <xf numFmtId="0" fontId="18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4" fontId="18" fillId="0" borderId="5" xfId="0" applyNumberFormat="1" applyFont="1" applyFill="1" applyBorder="1" applyAlignment="1" applyProtection="1">
      <alignment horizontal="center"/>
      <protection locked="0"/>
    </xf>
    <xf numFmtId="165" fontId="18" fillId="0" borderId="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right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Alignment="1"/>
    <xf numFmtId="0" fontId="2" fillId="0" borderId="0" xfId="0" applyFont="1" applyFill="1" applyProtection="1">
      <protection locked="0"/>
    </xf>
    <xf numFmtId="0" fontId="2" fillId="0" borderId="2" xfId="0" applyFont="1" applyFill="1" applyBorder="1" applyAlignment="1">
      <alignment horizontal="left"/>
    </xf>
    <xf numFmtId="0" fontId="6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6" fillId="0" borderId="3" xfId="0" applyFont="1" applyFill="1" applyBorder="1"/>
    <xf numFmtId="0" fontId="4" fillId="0" borderId="9" xfId="0" applyFont="1" applyFill="1" applyBorder="1" applyAlignment="1">
      <alignment horizontal="left" wrapText="1"/>
    </xf>
    <xf numFmtId="0" fontId="6" fillId="0" borderId="10" xfId="0" applyFont="1" applyFill="1" applyBorder="1"/>
    <xf numFmtId="0" fontId="4" fillId="0" borderId="11" xfId="0" applyFont="1" applyFill="1" applyBorder="1" applyAlignment="1">
      <alignment horizontal="center" wrapText="1"/>
    </xf>
    <xf numFmtId="0" fontId="6" fillId="0" borderId="14" xfId="0" applyFont="1" applyFill="1" applyBorder="1"/>
    <xf numFmtId="164" fontId="2" fillId="0" borderId="2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2" xfId="0" applyFont="1" applyFill="1" applyBorder="1" applyAlignment="1">
      <alignment horizontal="center" wrapText="1"/>
    </xf>
    <xf numFmtId="0" fontId="6" fillId="0" borderId="13" xfId="0" applyFont="1" applyFill="1" applyBorder="1"/>
    <xf numFmtId="0" fontId="4" fillId="0" borderId="2" xfId="0" applyFont="1" applyFill="1" applyBorder="1" applyAlignment="1">
      <alignment horizontal="right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2" fillId="0" borderId="0" xfId="0" applyFont="1"/>
    <xf numFmtId="0" fontId="0" fillId="0" borderId="0" xfId="0" applyFont="1" applyAlignment="1"/>
    <xf numFmtId="0" fontId="4" fillId="0" borderId="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center" wrapText="1"/>
    </xf>
    <xf numFmtId="0" fontId="6" fillId="0" borderId="20" xfId="0" applyFont="1" applyFill="1" applyBorder="1"/>
    <xf numFmtId="0" fontId="13" fillId="0" borderId="2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Protection="1">
      <protection locked="0"/>
    </xf>
    <xf numFmtId="9" fontId="1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Protection="1">
      <protection locked="0"/>
    </xf>
    <xf numFmtId="0" fontId="18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66" workbookViewId="0">
      <selection activeCell="H170" sqref="H170"/>
    </sheetView>
  </sheetViews>
  <sheetFormatPr defaultColWidth="12.625" defaultRowHeight="15" customHeight="1"/>
  <cols>
    <col min="1" max="1" width="18.125" style="163" customWidth="1"/>
    <col min="2" max="2" width="10.625" style="163" customWidth="1"/>
    <col min="3" max="3" width="8.875" style="163" customWidth="1"/>
    <col min="4" max="4" width="9.5" style="163" customWidth="1"/>
    <col min="5" max="5" width="9.75" style="163" customWidth="1"/>
    <col min="6" max="6" width="9.625" style="163" customWidth="1"/>
    <col min="7" max="7" width="7.625" style="163" customWidth="1"/>
    <col min="8" max="8" width="8.125" style="163" customWidth="1"/>
    <col min="9" max="9" width="14.25" style="163" customWidth="1"/>
    <col min="10" max="11" width="13.625" customWidth="1"/>
    <col min="12" max="12" width="10.125" customWidth="1"/>
    <col min="13" max="13" width="14.75" customWidth="1"/>
    <col min="14" max="18" width="8" customWidth="1"/>
    <col min="19" max="26" width="7.625" customWidth="1"/>
  </cols>
  <sheetData>
    <row r="1" spans="1:26">
      <c r="A1" s="194" t="s">
        <v>0</v>
      </c>
      <c r="B1" s="195"/>
      <c r="C1" s="195"/>
      <c r="D1" s="195"/>
      <c r="E1" s="195"/>
      <c r="F1" s="9"/>
      <c r="G1" s="9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196" t="s">
        <v>1</v>
      </c>
      <c r="B2" s="195"/>
      <c r="C2" s="195"/>
      <c r="D2" s="195"/>
      <c r="E2" s="195"/>
      <c r="F2" s="10"/>
      <c r="G2" s="11"/>
      <c r="H2" s="11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9"/>
      <c r="B3" s="197"/>
      <c r="C3" s="198"/>
      <c r="D3" s="198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84" t="s">
        <v>2</v>
      </c>
      <c r="B4" s="186"/>
      <c r="C4" s="186"/>
      <c r="D4" s="186"/>
      <c r="E4" s="182"/>
      <c r="F4" s="12"/>
      <c r="G4" s="11"/>
      <c r="H4" s="11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1" t="s">
        <v>3</v>
      </c>
      <c r="B5" s="182"/>
      <c r="C5" s="181" t="s">
        <v>4</v>
      </c>
      <c r="D5" s="186"/>
      <c r="E5" s="182"/>
      <c r="F5" s="13"/>
      <c r="G5" s="9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81" t="s">
        <v>5</v>
      </c>
      <c r="B6" s="182"/>
      <c r="C6" s="181" t="s">
        <v>6</v>
      </c>
      <c r="D6" s="186"/>
      <c r="E6" s="182"/>
      <c r="F6" s="13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81" t="s">
        <v>7</v>
      </c>
      <c r="B7" s="182"/>
      <c r="C7" s="181" t="s">
        <v>8</v>
      </c>
      <c r="D7" s="186"/>
      <c r="E7" s="182"/>
      <c r="F7" s="13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81" t="s">
        <v>9</v>
      </c>
      <c r="B8" s="182"/>
      <c r="C8" s="181">
        <v>5174</v>
      </c>
      <c r="D8" s="186"/>
      <c r="E8" s="182"/>
      <c r="F8" s="13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81" t="s">
        <v>10</v>
      </c>
      <c r="B9" s="182"/>
      <c r="C9" s="181" t="s">
        <v>11</v>
      </c>
      <c r="D9" s="186"/>
      <c r="E9" s="182"/>
      <c r="F9" s="13"/>
      <c r="G9" s="9"/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81" t="s">
        <v>12</v>
      </c>
      <c r="B10" s="182"/>
      <c r="C10" s="181" t="s">
        <v>13</v>
      </c>
      <c r="D10" s="186"/>
      <c r="E10" s="182"/>
      <c r="F10" s="13"/>
      <c r="G10" s="9"/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14</v>
      </c>
      <c r="B11" s="15">
        <v>180</v>
      </c>
      <c r="C11" s="191">
        <v>1426.75</v>
      </c>
      <c r="D11" s="186"/>
      <c r="E11" s="182"/>
      <c r="F11" s="13"/>
      <c r="G11" s="9"/>
      <c r="H11" s="16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7"/>
      <c r="D12" s="13"/>
      <c r="E12" s="13"/>
      <c r="F12" s="13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81" t="s">
        <v>15</v>
      </c>
      <c r="B13" s="182"/>
      <c r="C13" s="18" t="s">
        <v>16</v>
      </c>
      <c r="D13" s="18" t="s">
        <v>17</v>
      </c>
      <c r="E13" s="18" t="s">
        <v>18</v>
      </c>
      <c r="F13" s="10"/>
      <c r="G13" s="9"/>
      <c r="H13" s="9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92"/>
      <c r="B14" s="193"/>
      <c r="C14" s="19">
        <v>1</v>
      </c>
      <c r="D14" s="20">
        <v>18.2</v>
      </c>
      <c r="E14" s="21">
        <v>0.19</v>
      </c>
      <c r="F14" s="22"/>
      <c r="G14" s="9"/>
      <c r="H14" s="9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81" t="s">
        <v>19</v>
      </c>
      <c r="B15" s="182"/>
      <c r="C15" s="18" t="s">
        <v>16</v>
      </c>
      <c r="D15" s="18" t="s">
        <v>17</v>
      </c>
      <c r="E15" s="18" t="s">
        <v>18</v>
      </c>
      <c r="F15" s="10"/>
      <c r="G15" s="9"/>
      <c r="H15" s="9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83"/>
      <c r="B16" s="182"/>
      <c r="C16" s="19">
        <v>2</v>
      </c>
      <c r="D16" s="23">
        <v>4</v>
      </c>
      <c r="E16" s="24">
        <v>0.06</v>
      </c>
      <c r="F16" s="25"/>
      <c r="G16" s="9"/>
      <c r="H16" s="9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/>
      <c r="B17" s="27"/>
      <c r="C17" s="28"/>
      <c r="D17" s="29"/>
      <c r="E17" s="30" t="s">
        <v>20</v>
      </c>
      <c r="F17" s="25"/>
      <c r="G17" s="9"/>
      <c r="H17" s="9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/>
      <c r="B18" s="27"/>
      <c r="C18" s="28"/>
      <c r="D18" s="29"/>
      <c r="E18" s="24">
        <v>0.5</v>
      </c>
      <c r="F18" s="25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81" t="s">
        <v>21</v>
      </c>
      <c r="B19" s="182"/>
      <c r="C19" s="28"/>
      <c r="D19" s="23">
        <v>15.62</v>
      </c>
      <c r="E19" s="28"/>
      <c r="F19" s="31"/>
      <c r="G19" s="9"/>
      <c r="H19" s="9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2"/>
      <c r="B20" s="12"/>
      <c r="C20" s="32"/>
      <c r="D20" s="32"/>
      <c r="E20" s="32"/>
      <c r="F20" s="32"/>
      <c r="G20" s="9"/>
      <c r="H20" s="9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4" t="s">
        <v>22</v>
      </c>
      <c r="B21" s="182"/>
      <c r="C21" s="33" t="s">
        <v>23</v>
      </c>
      <c r="D21" s="33" t="s">
        <v>24</v>
      </c>
      <c r="E21" s="18" t="s">
        <v>25</v>
      </c>
      <c r="F21" s="10"/>
      <c r="G21" s="9"/>
      <c r="H21" s="12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4" t="s">
        <v>26</v>
      </c>
      <c r="B22" s="35">
        <v>12</v>
      </c>
      <c r="C22" s="36">
        <v>30</v>
      </c>
      <c r="D22" s="35">
        <v>0</v>
      </c>
      <c r="E22" s="19">
        <f>C22+D22</f>
        <v>30</v>
      </c>
      <c r="F22" s="31"/>
      <c r="G22" s="9"/>
      <c r="H22" s="37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85" t="s">
        <v>27</v>
      </c>
      <c r="B23" s="186"/>
      <c r="C23" s="182"/>
      <c r="D23" s="38"/>
      <c r="E23" s="38"/>
      <c r="F23" s="32"/>
      <c r="G23" s="9"/>
      <c r="H23" s="12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8" t="s">
        <v>28</v>
      </c>
      <c r="B24" s="38"/>
      <c r="C24" s="39">
        <v>0.55730000000000002</v>
      </c>
      <c r="D24" s="40"/>
      <c r="E24" s="40"/>
      <c r="F24" s="32"/>
      <c r="G24" s="9"/>
      <c r="H24" s="41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4" t="s">
        <v>29</v>
      </c>
      <c r="B25" s="38"/>
      <c r="C25" s="39">
        <v>6.1899999999999997E-2</v>
      </c>
      <c r="D25" s="40"/>
      <c r="E25" s="40"/>
      <c r="F25" s="32"/>
      <c r="G25" s="9"/>
      <c r="H25" s="11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81" t="s">
        <v>30</v>
      </c>
      <c r="B26" s="182"/>
      <c r="C26" s="39">
        <v>3.0800000000000001E-2</v>
      </c>
      <c r="D26" s="40"/>
      <c r="E26" s="40"/>
      <c r="F26" s="32"/>
      <c r="G26" s="9"/>
      <c r="H26" s="9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8" t="s">
        <v>31</v>
      </c>
      <c r="B27" s="38"/>
      <c r="C27" s="39">
        <f>(100%-(C24+C25+C26))</f>
        <v>0.35</v>
      </c>
      <c r="D27" s="40"/>
      <c r="E27" s="40"/>
      <c r="F27" s="32"/>
      <c r="G27" s="9"/>
      <c r="H27" s="11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2"/>
      <c r="B28" s="43"/>
      <c r="C28" s="44"/>
      <c r="D28" s="43"/>
      <c r="E28" s="43"/>
      <c r="F28" s="32"/>
      <c r="G28" s="9"/>
      <c r="H28" s="9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87" t="s">
        <v>32</v>
      </c>
      <c r="B29" s="188"/>
      <c r="C29" s="188"/>
      <c r="D29" s="188"/>
      <c r="E29" s="188"/>
      <c r="F29" s="45"/>
      <c r="G29" s="9"/>
      <c r="H29" s="11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89" t="s">
        <v>7</v>
      </c>
      <c r="B30" s="189" t="s">
        <v>33</v>
      </c>
      <c r="C30" s="189" t="s">
        <v>34</v>
      </c>
      <c r="D30" s="199" t="s">
        <v>35</v>
      </c>
      <c r="E30" s="200"/>
      <c r="F30" s="46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90"/>
      <c r="B31" s="190"/>
      <c r="C31" s="190"/>
      <c r="D31" s="47" t="s">
        <v>36</v>
      </c>
      <c r="E31" s="47" t="s">
        <v>37</v>
      </c>
      <c r="F31" s="46"/>
      <c r="G31" s="9"/>
      <c r="H31" s="9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8" t="s">
        <v>38</v>
      </c>
      <c r="B32" s="49">
        <v>1</v>
      </c>
      <c r="C32" s="49">
        <v>30</v>
      </c>
      <c r="D32" s="50">
        <v>0.69040000000000001</v>
      </c>
      <c r="E32" s="51">
        <f t="shared" ref="E32:E43" si="0">B32*C32*D32</f>
        <v>20.712</v>
      </c>
      <c r="F32" s="52"/>
      <c r="G32" s="9"/>
      <c r="H32" s="9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3" t="s">
        <v>39</v>
      </c>
      <c r="B33" s="49">
        <v>1</v>
      </c>
      <c r="C33" s="49">
        <v>1</v>
      </c>
      <c r="D33" s="50">
        <v>1</v>
      </c>
      <c r="E33" s="51">
        <f t="shared" si="0"/>
        <v>1</v>
      </c>
      <c r="F33" s="54"/>
      <c r="G33" s="9"/>
      <c r="H33" s="9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3" t="s">
        <v>40</v>
      </c>
      <c r="B34" s="49">
        <v>0.16420000000000001</v>
      </c>
      <c r="C34" s="49">
        <v>15</v>
      </c>
      <c r="D34" s="50">
        <v>0.69040000000000001</v>
      </c>
      <c r="E34" s="51">
        <f t="shared" si="0"/>
        <v>1.7004552000000002</v>
      </c>
      <c r="F34" s="54"/>
      <c r="G34" s="9"/>
      <c r="H34" s="9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3" t="s">
        <v>41</v>
      </c>
      <c r="B35" s="49">
        <v>1</v>
      </c>
      <c r="C35" s="49">
        <v>5</v>
      </c>
      <c r="D35" s="50">
        <v>0.69040000000000001</v>
      </c>
      <c r="E35" s="51">
        <f t="shared" si="0"/>
        <v>3.452</v>
      </c>
      <c r="F35" s="52"/>
      <c r="G35" s="9"/>
      <c r="H35" s="9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3" t="s">
        <v>42</v>
      </c>
      <c r="B36" s="49">
        <v>0.15310000000000001</v>
      </c>
      <c r="C36" s="49">
        <v>2</v>
      </c>
      <c r="D36" s="50">
        <v>1</v>
      </c>
      <c r="E36" s="51">
        <f t="shared" si="0"/>
        <v>0.30620000000000003</v>
      </c>
      <c r="F36" s="52"/>
      <c r="G36" s="9"/>
      <c r="H36" s="9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3" t="s">
        <v>43</v>
      </c>
      <c r="B37" s="49">
        <v>3.0099999999999998E-2</v>
      </c>
      <c r="C37" s="49">
        <v>2</v>
      </c>
      <c r="D37" s="50">
        <v>0.69040000000000001</v>
      </c>
      <c r="E37" s="51">
        <f t="shared" si="0"/>
        <v>4.1562080000000001E-2</v>
      </c>
      <c r="F37" s="52"/>
      <c r="G37" s="9"/>
      <c r="H37" s="9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3" t="s">
        <v>44</v>
      </c>
      <c r="B38" s="49">
        <v>1.6299999999999999E-2</v>
      </c>
      <c r="C38" s="49">
        <v>3</v>
      </c>
      <c r="D38" s="50">
        <v>1</v>
      </c>
      <c r="E38" s="51">
        <f t="shared" si="0"/>
        <v>4.8899999999999999E-2</v>
      </c>
      <c r="F38" s="52"/>
      <c r="G38" s="9"/>
      <c r="H38" s="9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3" t="s">
        <v>45</v>
      </c>
      <c r="B39" s="49">
        <v>0.02</v>
      </c>
      <c r="C39" s="49">
        <v>1</v>
      </c>
      <c r="D39" s="50">
        <v>1</v>
      </c>
      <c r="E39" s="51">
        <f t="shared" si="0"/>
        <v>0.02</v>
      </c>
      <c r="F39" s="54"/>
      <c r="G39" s="9"/>
      <c r="H39" s="9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5" t="s">
        <v>46</v>
      </c>
      <c r="B40" s="56">
        <v>4.0000000000000001E-3</v>
      </c>
      <c r="C40" s="56">
        <v>1</v>
      </c>
      <c r="D40" s="57">
        <v>1</v>
      </c>
      <c r="E40" s="51">
        <f t="shared" si="0"/>
        <v>4.0000000000000001E-3</v>
      </c>
      <c r="F40" s="54"/>
      <c r="G40" s="9"/>
      <c r="H40" s="9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8" t="s">
        <v>47</v>
      </c>
      <c r="B41" s="59">
        <v>4.2000000000000003E-2</v>
      </c>
      <c r="C41" s="59">
        <v>20</v>
      </c>
      <c r="D41" s="60">
        <v>0.69040000000000001</v>
      </c>
      <c r="E41" s="51">
        <f t="shared" si="0"/>
        <v>0.57993600000000012</v>
      </c>
      <c r="F41" s="54"/>
      <c r="G41" s="9"/>
      <c r="H41" s="9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3" t="s">
        <v>48</v>
      </c>
      <c r="B42" s="49">
        <v>3.8E-3</v>
      </c>
      <c r="C42" s="49">
        <v>180</v>
      </c>
      <c r="D42" s="50">
        <v>0.69040000000000001</v>
      </c>
      <c r="E42" s="51">
        <f t="shared" si="0"/>
        <v>0.47223360000000003</v>
      </c>
      <c r="F42" s="54"/>
      <c r="G42" s="9"/>
      <c r="H42" s="9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5" t="s">
        <v>49</v>
      </c>
      <c r="B43" s="56">
        <v>2.9999999999999997E-4</v>
      </c>
      <c r="C43" s="56">
        <v>6</v>
      </c>
      <c r="D43" s="57">
        <v>1</v>
      </c>
      <c r="E43" s="51">
        <f t="shared" si="0"/>
        <v>1.8E-3</v>
      </c>
      <c r="F43" s="52"/>
      <c r="G43" s="9"/>
      <c r="H43" s="9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01" t="s">
        <v>50</v>
      </c>
      <c r="B44" s="186"/>
      <c r="C44" s="186"/>
      <c r="D44" s="182"/>
      <c r="E44" s="61">
        <f>SUM(E32:E43)</f>
        <v>28.33908688</v>
      </c>
      <c r="F44" s="11"/>
      <c r="G44" s="9"/>
      <c r="H44" s="9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62"/>
      <c r="B45" s="63"/>
      <c r="C45" s="63"/>
      <c r="D45" s="63"/>
      <c r="E45" s="11"/>
      <c r="F45" s="11"/>
      <c r="G45" s="9"/>
      <c r="H45" s="9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85" t="s">
        <v>51</v>
      </c>
      <c r="B46" s="186"/>
      <c r="C46" s="182"/>
      <c r="D46" s="64">
        <v>0.58330000000000004</v>
      </c>
      <c r="E46" s="11"/>
      <c r="F46" s="11"/>
      <c r="G46" s="9"/>
      <c r="H46" s="9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85" t="s">
        <v>52</v>
      </c>
      <c r="B47" s="186"/>
      <c r="C47" s="182"/>
      <c r="D47" s="65">
        <v>0.08</v>
      </c>
      <c r="E47" s="11"/>
      <c r="F47" s="11"/>
      <c r="G47" s="9"/>
      <c r="H47" s="9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02" t="s">
        <v>53</v>
      </c>
      <c r="B48" s="186"/>
      <c r="C48" s="182"/>
      <c r="D48" s="66">
        <v>12</v>
      </c>
      <c r="E48" s="9"/>
      <c r="F48" s="9"/>
      <c r="G48" s="9"/>
      <c r="H48" s="9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03" t="s">
        <v>54</v>
      </c>
      <c r="B49" s="186"/>
      <c r="C49" s="182"/>
      <c r="D49" s="67">
        <v>252</v>
      </c>
      <c r="E49" s="9"/>
      <c r="F49" s="9"/>
      <c r="G49" s="9"/>
      <c r="H49" s="9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81" t="s">
        <v>55</v>
      </c>
      <c r="B50" s="186"/>
      <c r="C50" s="182"/>
      <c r="D50" s="67">
        <v>15</v>
      </c>
      <c r="E50" s="9"/>
      <c r="F50" s="9"/>
      <c r="G50" s="9"/>
      <c r="H50" s="9"/>
      <c r="I50" s="204"/>
      <c r="J50" s="205"/>
      <c r="K50" s="205"/>
      <c r="L50" s="20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1" t="s">
        <v>56</v>
      </c>
      <c r="B51" s="186"/>
      <c r="C51" s="182"/>
      <c r="D51" s="68">
        <v>180</v>
      </c>
      <c r="E51" s="69"/>
      <c r="F51" s="69"/>
      <c r="G51" s="69"/>
      <c r="H51" s="69"/>
      <c r="I51" s="6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9"/>
      <c r="B52" s="9"/>
      <c r="C52" s="9"/>
      <c r="D52" s="9"/>
      <c r="E52" s="9"/>
      <c r="F52" s="9"/>
      <c r="G52" s="9"/>
      <c r="H52" s="9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06" t="s">
        <v>57</v>
      </c>
      <c r="B53" s="186"/>
      <c r="C53" s="186"/>
      <c r="D53" s="186"/>
      <c r="E53" s="182"/>
      <c r="F53" s="10"/>
      <c r="G53" s="9"/>
      <c r="H53" s="9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70"/>
      <c r="B54" s="70"/>
      <c r="C54" s="70"/>
      <c r="D54" s="70"/>
      <c r="E54" s="70"/>
      <c r="F54" s="10"/>
      <c r="G54" s="9"/>
      <c r="H54" s="9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07" t="s">
        <v>58</v>
      </c>
      <c r="B55" s="186"/>
      <c r="C55" s="186"/>
      <c r="D55" s="186"/>
      <c r="E55" s="182"/>
      <c r="F55" s="10"/>
      <c r="G55" s="9"/>
      <c r="H55" s="9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71"/>
      <c r="B56" s="72">
        <v>180</v>
      </c>
      <c r="C56" s="73" t="s">
        <v>59</v>
      </c>
      <c r="D56" s="18" t="s">
        <v>60</v>
      </c>
      <c r="E56" s="18" t="s">
        <v>61</v>
      </c>
      <c r="F56" s="10"/>
      <c r="G56" s="9"/>
      <c r="H56" s="9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08" t="s">
        <v>62</v>
      </c>
      <c r="B57" s="186"/>
      <c r="C57" s="182"/>
      <c r="D57" s="38"/>
      <c r="E57" s="74">
        <f>(C11/B11)*B56</f>
        <v>1426.75</v>
      </c>
      <c r="F57" s="75"/>
      <c r="G57" s="9"/>
      <c r="H57" s="9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08" t="s">
        <v>63</v>
      </c>
      <c r="B58" s="186"/>
      <c r="C58" s="182"/>
      <c r="D58" s="76">
        <v>0.2</v>
      </c>
      <c r="E58" s="74">
        <f>((E57*D46)*D58)</f>
        <v>166.44465500000001</v>
      </c>
      <c r="F58" s="75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77" t="s">
        <v>64</v>
      </c>
      <c r="B59" s="78"/>
      <c r="C59" s="15"/>
      <c r="D59" s="79"/>
      <c r="E59" s="80">
        <f>(((E57+E58)/180)*14.28)</f>
        <v>126.39344263</v>
      </c>
      <c r="F59" s="37"/>
      <c r="G59" s="9"/>
      <c r="H59" s="9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81" t="s">
        <v>65</v>
      </c>
      <c r="B60" s="78"/>
      <c r="C60" s="15"/>
      <c r="D60" s="82"/>
      <c r="E60" s="74">
        <f>(((E57+E58)/B56*D50))</f>
        <v>132.76622125</v>
      </c>
      <c r="F60" s="37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08" t="s">
        <v>66</v>
      </c>
      <c r="B61" s="186"/>
      <c r="C61" s="182"/>
      <c r="D61" s="82"/>
      <c r="E61" s="74">
        <f>(((E58+E59)/15)*4)</f>
        <v>78.090159368000002</v>
      </c>
      <c r="F61" s="37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01" t="s">
        <v>67</v>
      </c>
      <c r="B62" s="186"/>
      <c r="C62" s="186"/>
      <c r="D62" s="182"/>
      <c r="E62" s="83">
        <f>SUM(E57:E61)</f>
        <v>1930.444478248</v>
      </c>
      <c r="F62" s="84"/>
      <c r="G62" s="17"/>
      <c r="H62" s="9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9"/>
      <c r="B63" s="9"/>
      <c r="C63" s="9"/>
      <c r="D63" s="9"/>
      <c r="E63" s="9"/>
      <c r="F63" s="9"/>
      <c r="G63" s="9"/>
      <c r="H63" s="9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06" t="s">
        <v>68</v>
      </c>
      <c r="B64" s="186"/>
      <c r="C64" s="186"/>
      <c r="D64" s="186"/>
      <c r="E64" s="182"/>
      <c r="F64" s="10"/>
      <c r="G64" s="9"/>
      <c r="H64" s="9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84" t="s">
        <v>69</v>
      </c>
      <c r="B65" s="186"/>
      <c r="C65" s="186"/>
      <c r="D65" s="186"/>
      <c r="E65" s="182"/>
      <c r="F65" s="12"/>
      <c r="G65" s="9"/>
      <c r="H65" s="85"/>
      <c r="I65" s="85"/>
      <c r="J65" s="2"/>
      <c r="K65" s="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206"/>
      <c r="B66" s="186"/>
      <c r="C66" s="182"/>
      <c r="D66" s="18" t="s">
        <v>60</v>
      </c>
      <c r="E66" s="18" t="s">
        <v>61</v>
      </c>
      <c r="F66" s="10"/>
      <c r="G66" s="9"/>
      <c r="H66" s="16"/>
      <c r="I66" s="16"/>
      <c r="J66" s="6"/>
      <c r="K66" s="1"/>
      <c r="L66" s="1"/>
      <c r="M66" s="5"/>
      <c r="N66" s="1"/>
      <c r="O66" s="1"/>
      <c r="P66" s="1"/>
      <c r="Q66" s="1"/>
      <c r="R66" s="6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85" t="s">
        <v>70</v>
      </c>
      <c r="B67" s="186"/>
      <c r="C67" s="182"/>
      <c r="D67" s="82">
        <f>1/12</f>
        <v>8.3333333333333329E-2</v>
      </c>
      <c r="E67" s="74">
        <f>E62*D67</f>
        <v>160.87037318733331</v>
      </c>
      <c r="F67" s="75"/>
      <c r="G67" s="9"/>
      <c r="H67" s="9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81" t="s">
        <v>71</v>
      </c>
      <c r="B68" s="186"/>
      <c r="C68" s="182"/>
      <c r="D68" s="82">
        <v>0.33329999999999999</v>
      </c>
      <c r="E68" s="74">
        <f>(E62*D68)/12</f>
        <v>53.618095383338193</v>
      </c>
      <c r="F68" s="75"/>
      <c r="G68" s="9"/>
      <c r="H68" s="9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01" t="s">
        <v>50</v>
      </c>
      <c r="B69" s="186"/>
      <c r="C69" s="186"/>
      <c r="D69" s="182"/>
      <c r="E69" s="83">
        <f>SUM(E67:E68)</f>
        <v>214.4884685706715</v>
      </c>
      <c r="F69" s="84"/>
      <c r="G69" s="9"/>
      <c r="H69" s="9"/>
      <c r="I69" s="9"/>
      <c r="J69" s="1"/>
      <c r="K69" s="1"/>
      <c r="L69" s="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2"/>
      <c r="B70" s="32"/>
      <c r="C70" s="32"/>
      <c r="D70" s="32"/>
      <c r="E70" s="32"/>
      <c r="F70" s="32"/>
      <c r="G70" s="9"/>
      <c r="H70" s="9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84" t="s">
        <v>72</v>
      </c>
      <c r="B71" s="186"/>
      <c r="C71" s="186"/>
      <c r="D71" s="186"/>
      <c r="E71" s="182"/>
      <c r="F71" s="12"/>
      <c r="G71" s="9"/>
      <c r="H71" s="9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81" t="s">
        <v>73</v>
      </c>
      <c r="B72" s="182"/>
      <c r="C72" s="74">
        <f>E62+E69</f>
        <v>2144.9329468186716</v>
      </c>
      <c r="D72" s="18" t="s">
        <v>60</v>
      </c>
      <c r="E72" s="18" t="s">
        <v>61</v>
      </c>
      <c r="F72" s="10"/>
      <c r="G72" s="9"/>
      <c r="H72" s="9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81" t="s">
        <v>74</v>
      </c>
      <c r="B73" s="186"/>
      <c r="C73" s="182"/>
      <c r="D73" s="82">
        <v>0.2</v>
      </c>
      <c r="E73" s="86">
        <f t="shared" ref="E73:E79" si="1">$C$72*D73</f>
        <v>428.98658936373431</v>
      </c>
      <c r="F73" s="87"/>
      <c r="G73" s="9"/>
      <c r="H73" s="9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81" t="s">
        <v>75</v>
      </c>
      <c r="B74" s="186"/>
      <c r="C74" s="182"/>
      <c r="D74" s="39">
        <v>2.5000000000000001E-2</v>
      </c>
      <c r="E74" s="86">
        <f t="shared" si="1"/>
        <v>53.623323670466789</v>
      </c>
      <c r="F74" s="87"/>
      <c r="G74" s="9"/>
      <c r="H74" s="9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81" t="s">
        <v>76</v>
      </c>
      <c r="B75" s="186"/>
      <c r="C75" s="182"/>
      <c r="D75" s="39">
        <v>0.03</v>
      </c>
      <c r="E75" s="86">
        <f t="shared" si="1"/>
        <v>64.347988404560141</v>
      </c>
      <c r="F75" s="87"/>
      <c r="G75" s="9"/>
      <c r="H75" s="9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81" t="s">
        <v>77</v>
      </c>
      <c r="B76" s="186"/>
      <c r="C76" s="182"/>
      <c r="D76" s="39">
        <v>1.4999999999999999E-2</v>
      </c>
      <c r="E76" s="86">
        <f t="shared" si="1"/>
        <v>32.17399420228007</v>
      </c>
      <c r="F76" s="87"/>
      <c r="G76" s="9"/>
      <c r="H76" s="9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81" t="s">
        <v>78</v>
      </c>
      <c r="B77" s="186"/>
      <c r="C77" s="182"/>
      <c r="D77" s="88">
        <v>0.01</v>
      </c>
      <c r="E77" s="86">
        <f t="shared" si="1"/>
        <v>21.449329468186715</v>
      </c>
      <c r="F77" s="87"/>
      <c r="G77" s="9"/>
      <c r="H77" s="9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81" t="s">
        <v>79</v>
      </c>
      <c r="B78" s="186"/>
      <c r="C78" s="182"/>
      <c r="D78" s="88">
        <v>6.0000000000000001E-3</v>
      </c>
      <c r="E78" s="86">
        <f t="shared" si="1"/>
        <v>12.86959768091203</v>
      </c>
      <c r="F78" s="87"/>
      <c r="G78" s="9"/>
      <c r="H78" s="9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81" t="s">
        <v>80</v>
      </c>
      <c r="B79" s="186"/>
      <c r="C79" s="182"/>
      <c r="D79" s="88">
        <v>2E-3</v>
      </c>
      <c r="E79" s="86">
        <f t="shared" si="1"/>
        <v>4.2898658936373435</v>
      </c>
      <c r="F79" s="87"/>
      <c r="G79" s="9"/>
      <c r="H79" s="9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01" t="s">
        <v>81</v>
      </c>
      <c r="B80" s="186"/>
      <c r="C80" s="182"/>
      <c r="D80" s="89">
        <f t="shared" ref="D80:E80" si="2">SUM(D73:D79)</f>
        <v>0.28800000000000003</v>
      </c>
      <c r="E80" s="90">
        <f t="shared" si="2"/>
        <v>617.74068868377753</v>
      </c>
      <c r="F80" s="91"/>
      <c r="G80" s="9"/>
      <c r="H80" s="9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81" t="s">
        <v>82</v>
      </c>
      <c r="B81" s="186"/>
      <c r="C81" s="182"/>
      <c r="D81" s="88">
        <v>0.08</v>
      </c>
      <c r="E81" s="86">
        <f>C72*D81</f>
        <v>171.59463574549372</v>
      </c>
      <c r="F81" s="87"/>
      <c r="G81" s="9"/>
      <c r="H81" s="9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01" t="s">
        <v>50</v>
      </c>
      <c r="B82" s="186"/>
      <c r="C82" s="182"/>
      <c r="D82" s="89">
        <f t="shared" ref="D82:E82" si="3">SUM(D80:D81)</f>
        <v>0.36800000000000005</v>
      </c>
      <c r="E82" s="90">
        <f t="shared" si="3"/>
        <v>789.33532442927128</v>
      </c>
      <c r="F82" s="91"/>
      <c r="G82" s="9"/>
      <c r="H82" s="9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2"/>
      <c r="B83" s="32"/>
      <c r="C83" s="32"/>
      <c r="D83" s="32"/>
      <c r="E83" s="32"/>
      <c r="F83" s="32"/>
      <c r="G83" s="9"/>
      <c r="H83" s="9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84" t="s">
        <v>83</v>
      </c>
      <c r="B84" s="186"/>
      <c r="C84" s="186"/>
      <c r="D84" s="186"/>
      <c r="E84" s="182"/>
      <c r="F84" s="12"/>
      <c r="G84" s="9"/>
      <c r="H84" s="9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209"/>
      <c r="B85" s="186"/>
      <c r="C85" s="186"/>
      <c r="D85" s="182"/>
      <c r="E85" s="18" t="s">
        <v>61</v>
      </c>
      <c r="F85" s="10"/>
      <c r="G85" s="9"/>
      <c r="H85" s="9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81" t="s">
        <v>84</v>
      </c>
      <c r="B86" s="186"/>
      <c r="C86" s="186"/>
      <c r="D86" s="182"/>
      <c r="E86" s="92">
        <f>((D16*C16)*D50)-(E11*E18)*E16</f>
        <v>120</v>
      </c>
      <c r="F86" s="93"/>
      <c r="G86" s="9"/>
      <c r="H86" s="9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81" t="s">
        <v>85</v>
      </c>
      <c r="B87" s="186"/>
      <c r="C87" s="186"/>
      <c r="D87" s="182"/>
      <c r="E87" s="92">
        <f>((C14*D14)*D50)-(((C14*D14)*D50)*E14)</f>
        <v>221.13</v>
      </c>
      <c r="F87" s="93"/>
      <c r="G87" s="9"/>
      <c r="H87" s="9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81" t="s">
        <v>86</v>
      </c>
      <c r="B88" s="186"/>
      <c r="C88" s="186"/>
      <c r="D88" s="182"/>
      <c r="E88" s="92">
        <f>D19</f>
        <v>15.62</v>
      </c>
      <c r="F88" s="93"/>
      <c r="G88" s="9"/>
      <c r="H88" s="9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81" t="s">
        <v>87</v>
      </c>
      <c r="B89" s="186"/>
      <c r="C89" s="186"/>
      <c r="D89" s="182"/>
      <c r="E89" s="92"/>
      <c r="F89" s="93"/>
      <c r="G89" s="9"/>
      <c r="H89" s="9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81" t="s">
        <v>88</v>
      </c>
      <c r="B90" s="186"/>
      <c r="C90" s="186"/>
      <c r="D90" s="182"/>
      <c r="E90" s="92"/>
      <c r="F90" s="93"/>
      <c r="G90" s="9"/>
      <c r="H90" s="9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01" t="s">
        <v>50</v>
      </c>
      <c r="B91" s="186"/>
      <c r="C91" s="186"/>
      <c r="D91" s="182"/>
      <c r="E91" s="94">
        <f>SUM(E86:E90)</f>
        <v>356.75</v>
      </c>
      <c r="F91" s="95"/>
      <c r="G91" s="9"/>
      <c r="H91" s="9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96"/>
      <c r="B92" s="96"/>
      <c r="C92" s="96"/>
      <c r="D92" s="96"/>
      <c r="E92" s="95"/>
      <c r="F92" s="95"/>
      <c r="G92" s="9"/>
      <c r="H92" s="9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206" t="s">
        <v>89</v>
      </c>
      <c r="B93" s="186"/>
      <c r="C93" s="186"/>
      <c r="D93" s="186"/>
      <c r="E93" s="182"/>
      <c r="F93" s="10"/>
      <c r="G93" s="9"/>
      <c r="H93" s="9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206"/>
      <c r="B94" s="186"/>
      <c r="C94" s="186"/>
      <c r="D94" s="182"/>
      <c r="E94" s="18" t="s">
        <v>61</v>
      </c>
      <c r="F94" s="10"/>
      <c r="G94" s="9"/>
      <c r="H94" s="9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81" t="s">
        <v>69</v>
      </c>
      <c r="B95" s="186"/>
      <c r="C95" s="186"/>
      <c r="D95" s="182"/>
      <c r="E95" s="97">
        <f>E69</f>
        <v>214.4884685706715</v>
      </c>
      <c r="F95" s="98"/>
      <c r="G95" s="9"/>
      <c r="H95" s="9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81" t="s">
        <v>90</v>
      </c>
      <c r="B96" s="186"/>
      <c r="C96" s="186"/>
      <c r="D96" s="182"/>
      <c r="E96" s="97">
        <f>E82</f>
        <v>789.33532442927128</v>
      </c>
      <c r="F96" s="98"/>
      <c r="G96" s="9"/>
      <c r="H96" s="9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81" t="s">
        <v>83</v>
      </c>
      <c r="B97" s="186"/>
      <c r="C97" s="186"/>
      <c r="D97" s="182"/>
      <c r="E97" s="97">
        <f>E91</f>
        <v>356.75</v>
      </c>
      <c r="F97" s="98"/>
      <c r="G97" s="9"/>
      <c r="H97" s="9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201" t="s">
        <v>91</v>
      </c>
      <c r="B98" s="186"/>
      <c r="C98" s="186"/>
      <c r="D98" s="182"/>
      <c r="E98" s="99">
        <f>SUM(E95:E97)</f>
        <v>1360.5737929999427</v>
      </c>
      <c r="F98" s="100"/>
      <c r="G98" s="37"/>
      <c r="H98" s="37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2"/>
      <c r="B99" s="32"/>
      <c r="C99" s="32"/>
      <c r="D99" s="32"/>
      <c r="E99" s="32"/>
      <c r="F99" s="32"/>
      <c r="G99" s="9"/>
      <c r="H99" s="9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06" t="s">
        <v>92</v>
      </c>
      <c r="B100" s="186"/>
      <c r="C100" s="186"/>
      <c r="D100" s="186"/>
      <c r="E100" s="182"/>
      <c r="F100" s="10"/>
      <c r="G100" s="9"/>
      <c r="H100" s="9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71"/>
      <c r="B101" s="72"/>
      <c r="C101" s="72"/>
      <c r="D101" s="72"/>
      <c r="E101" s="101"/>
      <c r="F101" s="10"/>
      <c r="G101" s="9"/>
      <c r="H101" s="9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11" t="s">
        <v>93</v>
      </c>
      <c r="B102" s="186"/>
      <c r="C102" s="182"/>
      <c r="D102" s="102" t="s">
        <v>60</v>
      </c>
      <c r="E102" s="103" t="s">
        <v>61</v>
      </c>
      <c r="F102" s="104"/>
      <c r="G102" s="9"/>
      <c r="H102" s="9"/>
      <c r="I102" s="10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81" t="s">
        <v>94</v>
      </c>
      <c r="B103" s="186"/>
      <c r="C103" s="182"/>
      <c r="D103" s="34"/>
      <c r="E103" s="80">
        <f>((E62+(E98-E80))/$D48)*$C24</f>
        <v>124.15146639691744</v>
      </c>
      <c r="F103" s="16"/>
      <c r="G103" s="37"/>
      <c r="H103" s="37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12" t="s">
        <v>95</v>
      </c>
      <c r="B104" s="186"/>
      <c r="C104" s="182"/>
      <c r="D104" s="106">
        <v>0.08</v>
      </c>
      <c r="E104" s="107">
        <f>E103*D104</f>
        <v>9.9321173117533963</v>
      </c>
      <c r="F104" s="16"/>
      <c r="G104" s="9"/>
      <c r="H104" s="9"/>
      <c r="I104" s="1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12" t="s">
        <v>96</v>
      </c>
      <c r="B105" s="186"/>
      <c r="C105" s="182"/>
      <c r="D105" s="106">
        <v>0.4</v>
      </c>
      <c r="E105" s="107">
        <f>(((((E62+E69)/C22)*E22)*D104)*D105)*C24</f>
        <v>38.251876200385468</v>
      </c>
      <c r="F105" s="16"/>
      <c r="G105" s="9"/>
      <c r="H105" s="9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13" t="s">
        <v>97</v>
      </c>
      <c r="B106" s="186"/>
      <c r="C106" s="182"/>
      <c r="D106" s="108"/>
      <c r="E106" s="109">
        <f>SUM(E103:E105)</f>
        <v>172.33545990905628</v>
      </c>
      <c r="F106" s="110"/>
      <c r="G106" s="9"/>
      <c r="H106" s="111"/>
      <c r="I106" s="1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12"/>
      <c r="B107" s="112"/>
      <c r="C107" s="112"/>
      <c r="D107" s="113"/>
      <c r="E107" s="114"/>
      <c r="F107" s="114"/>
      <c r="G107" s="9"/>
      <c r="H107" s="9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211" t="s">
        <v>98</v>
      </c>
      <c r="B108" s="186"/>
      <c r="C108" s="182"/>
      <c r="D108" s="108"/>
      <c r="E108" s="107"/>
      <c r="F108" s="16"/>
      <c r="G108" s="9"/>
      <c r="H108" s="9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81" t="s">
        <v>99</v>
      </c>
      <c r="B109" s="186"/>
      <c r="C109" s="182"/>
      <c r="D109" s="34"/>
      <c r="E109" s="107">
        <f>((((E62+E98)/C22)*E22)/B22)*C25</f>
        <v>16.976169249187304</v>
      </c>
      <c r="F109" s="16"/>
      <c r="G109" s="9"/>
      <c r="H109" s="9"/>
      <c r="I109" s="6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212" t="s">
        <v>100</v>
      </c>
      <c r="B110" s="186"/>
      <c r="C110" s="182"/>
      <c r="D110" s="115">
        <f>D82</f>
        <v>0.36800000000000005</v>
      </c>
      <c r="E110" s="107">
        <f>E109*D110</f>
        <v>6.2472302837009286</v>
      </c>
      <c r="F110" s="16"/>
      <c r="G110" s="9"/>
      <c r="H110" s="9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12" t="s">
        <v>101</v>
      </c>
      <c r="B111" s="186"/>
      <c r="C111" s="182"/>
      <c r="D111" s="34"/>
      <c r="E111" s="16">
        <f>(((((E62+E69)/C22)*E22)*D104)*D105)*C25</f>
        <v>4.2486831810584249</v>
      </c>
      <c r="F111" s="16"/>
      <c r="G111" s="9"/>
      <c r="H111" s="9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213" t="s">
        <v>102</v>
      </c>
      <c r="B112" s="186"/>
      <c r="C112" s="182"/>
      <c r="D112" s="34"/>
      <c r="E112" s="109">
        <f>SUM(E109:E111)</f>
        <v>27.472082713946659</v>
      </c>
      <c r="F112" s="110"/>
      <c r="G112" s="9"/>
      <c r="H112" s="9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12"/>
      <c r="B113" s="112"/>
      <c r="C113" s="112"/>
      <c r="D113" s="32"/>
      <c r="E113" s="114"/>
      <c r="F113" s="114"/>
      <c r="G113" s="9"/>
      <c r="H113" s="9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215" t="s">
        <v>103</v>
      </c>
      <c r="B114" s="186"/>
      <c r="C114" s="182"/>
      <c r="D114" s="38"/>
      <c r="E114" s="101" t="s">
        <v>61</v>
      </c>
      <c r="F114" s="10"/>
      <c r="G114" s="9"/>
      <c r="H114" s="9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216" t="s">
        <v>104</v>
      </c>
      <c r="B115" s="186"/>
      <c r="C115" s="182"/>
      <c r="D115" s="38"/>
      <c r="E115" s="116">
        <f>-E69*C26</f>
        <v>-6.6062448319766824</v>
      </c>
      <c r="F115" s="117"/>
      <c r="G115" s="9"/>
      <c r="H115" s="118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23" t="s">
        <v>105</v>
      </c>
      <c r="B116" s="186"/>
      <c r="C116" s="182"/>
      <c r="D116" s="119"/>
      <c r="E116" s="120">
        <f>SUM(E115)</f>
        <v>-6.6062448319766824</v>
      </c>
      <c r="F116" s="121"/>
      <c r="G116" s="9"/>
      <c r="H116" s="9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22"/>
      <c r="B117" s="123"/>
      <c r="C117" s="124"/>
      <c r="D117" s="119"/>
      <c r="E117" s="120"/>
      <c r="F117" s="121"/>
      <c r="G117" s="9"/>
      <c r="H117" s="9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24" t="s">
        <v>106</v>
      </c>
      <c r="B118" s="186"/>
      <c r="C118" s="186"/>
      <c r="D118" s="182"/>
      <c r="E118" s="101" t="s">
        <v>61</v>
      </c>
      <c r="F118" s="10"/>
      <c r="G118" s="9"/>
      <c r="H118" s="9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81" t="s">
        <v>93</v>
      </c>
      <c r="B119" s="186"/>
      <c r="C119" s="186"/>
      <c r="D119" s="182"/>
      <c r="E119" s="109">
        <f>E106</f>
        <v>172.33545990905628</v>
      </c>
      <c r="F119" s="110"/>
      <c r="G119" s="9"/>
      <c r="H119" s="9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81" t="s">
        <v>98</v>
      </c>
      <c r="B120" s="186"/>
      <c r="C120" s="186"/>
      <c r="D120" s="182"/>
      <c r="E120" s="109">
        <f>E112</f>
        <v>27.472082713946659</v>
      </c>
      <c r="F120" s="110"/>
      <c r="G120" s="9"/>
      <c r="H120" s="9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12" t="s">
        <v>103</v>
      </c>
      <c r="B121" s="186"/>
      <c r="C121" s="186"/>
      <c r="D121" s="182"/>
      <c r="E121" s="109">
        <f>E116</f>
        <v>-6.6062448319766824</v>
      </c>
      <c r="F121" s="121"/>
      <c r="G121" s="9"/>
      <c r="H121" s="9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01" t="s">
        <v>107</v>
      </c>
      <c r="B122" s="186"/>
      <c r="C122" s="182"/>
      <c r="D122" s="38"/>
      <c r="E122" s="125">
        <f>SUM(E119:E121)</f>
        <v>193.20129779102626</v>
      </c>
      <c r="F122" s="114"/>
      <c r="G122" s="9"/>
      <c r="H122" s="9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2"/>
      <c r="B123" s="32"/>
      <c r="C123" s="32"/>
      <c r="D123" s="32"/>
      <c r="E123" s="32"/>
      <c r="F123" s="32"/>
      <c r="G123" s="9"/>
      <c r="H123" s="9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06" t="s">
        <v>108</v>
      </c>
      <c r="B124" s="186"/>
      <c r="C124" s="186"/>
      <c r="D124" s="186"/>
      <c r="E124" s="182"/>
      <c r="F124" s="10"/>
      <c r="G124" s="9"/>
      <c r="H124" s="9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84" t="s">
        <v>109</v>
      </c>
      <c r="B125" s="186"/>
      <c r="C125" s="186"/>
      <c r="D125" s="186"/>
      <c r="E125" s="182"/>
      <c r="F125" s="12"/>
      <c r="G125" s="9"/>
      <c r="H125" s="12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17" t="s">
        <v>110</v>
      </c>
      <c r="B126" s="186"/>
      <c r="C126" s="186"/>
      <c r="D126" s="186"/>
      <c r="E126" s="186"/>
      <c r="F126" s="186"/>
      <c r="G126" s="186"/>
      <c r="H126" s="96"/>
      <c r="I126" s="9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26" t="s">
        <v>7</v>
      </c>
      <c r="B127" s="218" t="s">
        <v>33</v>
      </c>
      <c r="C127" s="218" t="s">
        <v>34</v>
      </c>
      <c r="D127" s="220" t="s">
        <v>111</v>
      </c>
      <c r="E127" s="221"/>
      <c r="F127" s="222" t="s">
        <v>112</v>
      </c>
      <c r="G127" s="186"/>
      <c r="H127" s="182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27">
        <f>(E62+E98+E106)/D50</f>
        <v>230.89024874379993</v>
      </c>
      <c r="B128" s="219"/>
      <c r="C128" s="219"/>
      <c r="D128" s="126" t="s">
        <v>36</v>
      </c>
      <c r="E128" s="126" t="s">
        <v>37</v>
      </c>
      <c r="F128" s="126" t="s">
        <v>36</v>
      </c>
      <c r="G128" s="126" t="s">
        <v>37</v>
      </c>
      <c r="H128" s="128" t="s">
        <v>113</v>
      </c>
      <c r="I128" s="9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29" t="s">
        <v>38</v>
      </c>
      <c r="B129" s="130">
        <v>1</v>
      </c>
      <c r="C129" s="131">
        <v>15</v>
      </c>
      <c r="D129" s="132">
        <v>0.69040000000000001</v>
      </c>
      <c r="E129" s="133">
        <f t="shared" ref="E129:E140" si="4">(B129*C129)*D129</f>
        <v>10.356</v>
      </c>
      <c r="F129" s="132">
        <v>0.5</v>
      </c>
      <c r="G129" s="134">
        <f t="shared" ref="G129:G140" si="5">(B129*C129)*F129</f>
        <v>7.5</v>
      </c>
      <c r="H129" s="135">
        <f>(A128*G129)/12</f>
        <v>144.30640546487496</v>
      </c>
      <c r="I129" s="9"/>
      <c r="J129" s="1"/>
      <c r="K129" s="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36" t="s">
        <v>39</v>
      </c>
      <c r="B130" s="130">
        <v>1</v>
      </c>
      <c r="C130" s="131">
        <v>1</v>
      </c>
      <c r="D130" s="132">
        <v>1</v>
      </c>
      <c r="E130" s="133">
        <f t="shared" si="4"/>
        <v>1</v>
      </c>
      <c r="F130" s="132">
        <v>1</v>
      </c>
      <c r="G130" s="134">
        <f t="shared" si="5"/>
        <v>1</v>
      </c>
      <c r="H130" s="135">
        <f>(A128*G130)/12</f>
        <v>19.240854061983327</v>
      </c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36" t="s">
        <v>40</v>
      </c>
      <c r="B131" s="131">
        <v>0.16420000000000001</v>
      </c>
      <c r="C131" s="131">
        <v>15</v>
      </c>
      <c r="D131" s="132">
        <v>0.69040000000000001</v>
      </c>
      <c r="E131" s="133">
        <f t="shared" si="4"/>
        <v>1.7004552000000002</v>
      </c>
      <c r="F131" s="132">
        <v>0.5</v>
      </c>
      <c r="G131" s="134">
        <f t="shared" si="5"/>
        <v>1.2315</v>
      </c>
      <c r="H131" s="135">
        <f>(A128*G131)/12</f>
        <v>23.695111777332468</v>
      </c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36" t="s">
        <v>41</v>
      </c>
      <c r="B132" s="130">
        <v>1</v>
      </c>
      <c r="C132" s="131">
        <v>5</v>
      </c>
      <c r="D132" s="132">
        <v>0.69040000000000001</v>
      </c>
      <c r="E132" s="133">
        <f t="shared" si="4"/>
        <v>3.452</v>
      </c>
      <c r="F132" s="132">
        <v>0.5</v>
      </c>
      <c r="G132" s="134">
        <f t="shared" si="5"/>
        <v>2.5</v>
      </c>
      <c r="H132" s="135">
        <f>(A128*G132)/12</f>
        <v>48.102135154958319</v>
      </c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36" t="s">
        <v>42</v>
      </c>
      <c r="B133" s="131">
        <v>0.15310000000000001</v>
      </c>
      <c r="C133" s="131">
        <v>2</v>
      </c>
      <c r="D133" s="132">
        <v>1</v>
      </c>
      <c r="E133" s="133">
        <f t="shared" si="4"/>
        <v>0.30620000000000003</v>
      </c>
      <c r="F133" s="132">
        <v>1</v>
      </c>
      <c r="G133" s="134">
        <f t="shared" si="5"/>
        <v>0.30620000000000003</v>
      </c>
      <c r="H133" s="135">
        <f>(A128*G133)/12</f>
        <v>5.8915495137792959</v>
      </c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36" t="s">
        <v>43</v>
      </c>
      <c r="B134" s="131">
        <v>3.0099999999999998E-2</v>
      </c>
      <c r="C134" s="131">
        <v>2</v>
      </c>
      <c r="D134" s="132">
        <v>0.69040000000000001</v>
      </c>
      <c r="E134" s="133">
        <f t="shared" si="4"/>
        <v>4.1562080000000001E-2</v>
      </c>
      <c r="F134" s="132">
        <v>0.5</v>
      </c>
      <c r="G134" s="134">
        <f t="shared" si="5"/>
        <v>3.0099999999999998E-2</v>
      </c>
      <c r="H134" s="135">
        <f>(A128*G134)/12</f>
        <v>0.57914970726569814</v>
      </c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36" t="s">
        <v>44</v>
      </c>
      <c r="B135" s="131">
        <v>1.6299999999999999E-2</v>
      </c>
      <c r="C135" s="131">
        <v>3</v>
      </c>
      <c r="D135" s="132">
        <v>1</v>
      </c>
      <c r="E135" s="133">
        <f t="shared" si="4"/>
        <v>4.8899999999999999E-2</v>
      </c>
      <c r="F135" s="132">
        <v>0.5</v>
      </c>
      <c r="G135" s="134">
        <f t="shared" si="5"/>
        <v>2.445E-2</v>
      </c>
      <c r="H135" s="135">
        <f>(A128*G135)/12</f>
        <v>0.47043888181549232</v>
      </c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36" t="s">
        <v>45</v>
      </c>
      <c r="B136" s="130">
        <v>0.02</v>
      </c>
      <c r="C136" s="131">
        <v>1</v>
      </c>
      <c r="D136" s="132">
        <v>1</v>
      </c>
      <c r="E136" s="133">
        <f t="shared" si="4"/>
        <v>0.02</v>
      </c>
      <c r="F136" s="132">
        <v>1</v>
      </c>
      <c r="G136" s="134">
        <f t="shared" si="5"/>
        <v>0.02</v>
      </c>
      <c r="H136" s="135">
        <f>(A128*G136)/12</f>
        <v>0.38481708123966657</v>
      </c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36" t="s">
        <v>46</v>
      </c>
      <c r="B137" s="130">
        <v>4.0000000000000001E-3</v>
      </c>
      <c r="C137" s="131">
        <v>1</v>
      </c>
      <c r="D137" s="132">
        <v>1</v>
      </c>
      <c r="E137" s="133">
        <f t="shared" si="4"/>
        <v>4.0000000000000001E-3</v>
      </c>
      <c r="F137" s="132">
        <v>1</v>
      </c>
      <c r="G137" s="134">
        <f t="shared" si="5"/>
        <v>4.0000000000000001E-3</v>
      </c>
      <c r="H137" s="135">
        <f>(A128*G137)/12</f>
        <v>7.6963416247933306E-2</v>
      </c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36" t="s">
        <v>47</v>
      </c>
      <c r="B138" s="130">
        <v>4.2000000000000003E-2</v>
      </c>
      <c r="C138" s="131">
        <v>20</v>
      </c>
      <c r="D138" s="132">
        <v>0.69040000000000001</v>
      </c>
      <c r="E138" s="133">
        <f t="shared" si="4"/>
        <v>0.57993600000000012</v>
      </c>
      <c r="F138" s="132">
        <v>0.5</v>
      </c>
      <c r="G138" s="134">
        <f t="shared" si="5"/>
        <v>0.42000000000000004</v>
      </c>
      <c r="H138" s="135">
        <f>(A128*G138)/12</f>
        <v>8.0811587060329995</v>
      </c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36" t="s">
        <v>48</v>
      </c>
      <c r="B139" s="131">
        <v>3.8E-3</v>
      </c>
      <c r="C139" s="131">
        <v>180</v>
      </c>
      <c r="D139" s="132">
        <v>0.69040000000000001</v>
      </c>
      <c r="E139" s="133">
        <f t="shared" si="4"/>
        <v>0.47223360000000003</v>
      </c>
      <c r="F139" s="132">
        <v>0.5</v>
      </c>
      <c r="G139" s="134">
        <f t="shared" si="5"/>
        <v>0.34200000000000003</v>
      </c>
      <c r="H139" s="135">
        <f>(A128*G139)/12</f>
        <v>6.5803720891982991</v>
      </c>
      <c r="I139" s="9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36" t="s">
        <v>49</v>
      </c>
      <c r="B140" s="131">
        <v>2.9999999999999997E-4</v>
      </c>
      <c r="C140" s="131">
        <v>6</v>
      </c>
      <c r="D140" s="132">
        <v>1</v>
      </c>
      <c r="E140" s="133">
        <f t="shared" si="4"/>
        <v>1.8E-3</v>
      </c>
      <c r="F140" s="132">
        <v>1</v>
      </c>
      <c r="G140" s="134">
        <f t="shared" si="5"/>
        <v>1.8E-3</v>
      </c>
      <c r="H140" s="135">
        <f>(A128*G140)/12</f>
        <v>3.4633537311569991E-2</v>
      </c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14" t="s">
        <v>50</v>
      </c>
      <c r="B141" s="186"/>
      <c r="C141" s="186"/>
      <c r="D141" s="182"/>
      <c r="E141" s="137">
        <f>SUM(E129:E140)</f>
        <v>17.983086879999998</v>
      </c>
      <c r="F141" s="138"/>
      <c r="G141" s="139">
        <f t="shared" ref="G141:H141" si="6">SUM(G129:G140)</f>
        <v>13.380049999999999</v>
      </c>
      <c r="H141" s="140">
        <f t="shared" si="6"/>
        <v>257.44358939204</v>
      </c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06" t="s">
        <v>114</v>
      </c>
      <c r="B142" s="186"/>
      <c r="C142" s="186"/>
      <c r="D142" s="186"/>
      <c r="E142" s="182"/>
      <c r="F142" s="10"/>
      <c r="G142" s="9"/>
      <c r="H142" s="9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84" t="s">
        <v>115</v>
      </c>
      <c r="B143" s="186"/>
      <c r="C143" s="186"/>
      <c r="D143" s="182"/>
      <c r="E143" s="38"/>
      <c r="F143" s="32"/>
      <c r="G143" s="9"/>
      <c r="H143" s="9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41" t="s">
        <v>116</v>
      </c>
      <c r="B144" s="141" t="s">
        <v>117</v>
      </c>
      <c r="C144" s="28" t="s">
        <v>113</v>
      </c>
      <c r="D144" s="28" t="s">
        <v>118</v>
      </c>
      <c r="E144" s="18" t="s">
        <v>61</v>
      </c>
      <c r="F144" s="10"/>
      <c r="G144" s="9"/>
      <c r="H144" s="9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1.75" customHeight="1">
      <c r="A145" s="142" t="s">
        <v>119</v>
      </c>
      <c r="B145" s="143">
        <v>2</v>
      </c>
      <c r="C145" s="144">
        <v>27.83</v>
      </c>
      <c r="D145" s="23">
        <f t="shared" ref="D145:D146" si="7">C145*B145</f>
        <v>55.66</v>
      </c>
      <c r="E145" s="145">
        <f t="shared" ref="E145:E146" si="8">D145/12</f>
        <v>4.6383333333333328</v>
      </c>
      <c r="F145" s="146"/>
      <c r="G145" s="9"/>
      <c r="H145" s="9"/>
      <c r="I145" s="14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5.25" customHeight="1">
      <c r="A146" s="142" t="s">
        <v>120</v>
      </c>
      <c r="B146" s="143">
        <v>1</v>
      </c>
      <c r="C146" s="144">
        <v>157.66999999999999</v>
      </c>
      <c r="D146" s="23">
        <f t="shared" si="7"/>
        <v>157.66999999999999</v>
      </c>
      <c r="E146" s="145">
        <f t="shared" si="8"/>
        <v>13.139166666666666</v>
      </c>
      <c r="F146" s="146"/>
      <c r="G146" s="9"/>
      <c r="H146" s="9"/>
      <c r="I146" s="14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01" t="s">
        <v>121</v>
      </c>
      <c r="B147" s="186"/>
      <c r="C147" s="186"/>
      <c r="D147" s="182"/>
      <c r="E147" s="148">
        <f>SUM(E145:E146)</f>
        <v>17.7775</v>
      </c>
      <c r="F147" s="100"/>
      <c r="G147" s="9"/>
      <c r="H147" s="9"/>
      <c r="I147" s="1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96"/>
      <c r="B148" s="96"/>
      <c r="C148" s="96"/>
      <c r="D148" s="96"/>
      <c r="E148" s="100"/>
      <c r="F148" s="100"/>
      <c r="G148" s="9"/>
      <c r="H148" s="9"/>
      <c r="I148" s="1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96"/>
      <c r="B149" s="96"/>
      <c r="C149" s="96"/>
      <c r="D149" s="96"/>
      <c r="E149" s="32"/>
      <c r="F149" s="32"/>
      <c r="G149" s="9"/>
      <c r="H149" s="9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06" t="s">
        <v>122</v>
      </c>
      <c r="B150" s="186"/>
      <c r="C150" s="186"/>
      <c r="D150" s="182"/>
      <c r="E150" s="18" t="s">
        <v>61</v>
      </c>
      <c r="F150" s="10"/>
      <c r="G150" s="9"/>
      <c r="H150" s="9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81" t="s">
        <v>123</v>
      </c>
      <c r="B151" s="186"/>
      <c r="C151" s="186"/>
      <c r="D151" s="182"/>
      <c r="E151" s="150">
        <f>E62</f>
        <v>1930.444478248</v>
      </c>
      <c r="F151" s="146"/>
      <c r="G151" s="9"/>
      <c r="H151" s="9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81" t="s">
        <v>124</v>
      </c>
      <c r="B152" s="186"/>
      <c r="C152" s="186"/>
      <c r="D152" s="182"/>
      <c r="E152" s="150">
        <f>E98</f>
        <v>1360.5737929999427</v>
      </c>
      <c r="F152" s="146"/>
      <c r="G152" s="9"/>
      <c r="H152" s="9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81" t="s">
        <v>125</v>
      </c>
      <c r="B153" s="186"/>
      <c r="C153" s="186"/>
      <c r="D153" s="182"/>
      <c r="E153" s="150">
        <f>E122</f>
        <v>193.20129779102626</v>
      </c>
      <c r="F153" s="146"/>
      <c r="G153" s="9"/>
      <c r="H153" s="9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81" t="s">
        <v>126</v>
      </c>
      <c r="B154" s="186"/>
      <c r="C154" s="186"/>
      <c r="D154" s="182"/>
      <c r="E154" s="150">
        <f>H141</f>
        <v>257.44358939204</v>
      </c>
      <c r="F154" s="146"/>
      <c r="G154" s="9"/>
      <c r="H154" s="9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81" t="s">
        <v>127</v>
      </c>
      <c r="B155" s="186"/>
      <c r="C155" s="186"/>
      <c r="D155" s="182"/>
      <c r="E155" s="150">
        <f>E147</f>
        <v>17.7775</v>
      </c>
      <c r="F155" s="146"/>
      <c r="G155" s="9"/>
      <c r="H155" s="9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01" t="s">
        <v>121</v>
      </c>
      <c r="B156" s="186"/>
      <c r="C156" s="186"/>
      <c r="D156" s="182"/>
      <c r="E156" s="99">
        <f>SUM(E151:E155)</f>
        <v>3759.4406584310091</v>
      </c>
      <c r="F156" s="100"/>
      <c r="G156" s="9"/>
      <c r="H156" s="9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06" t="s">
        <v>128</v>
      </c>
      <c r="B158" s="186"/>
      <c r="C158" s="186"/>
      <c r="D158" s="186"/>
      <c r="E158" s="182"/>
      <c r="F158" s="10"/>
      <c r="G158" s="9"/>
      <c r="H158" s="9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85"/>
      <c r="B159" s="182"/>
      <c r="C159" s="18" t="s">
        <v>129</v>
      </c>
      <c r="D159" s="18" t="s">
        <v>130</v>
      </c>
      <c r="E159" s="18" t="s">
        <v>61</v>
      </c>
      <c r="F159" s="10"/>
      <c r="G159" s="9"/>
      <c r="H159" s="9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81" t="s">
        <v>131</v>
      </c>
      <c r="B160" s="182"/>
      <c r="C160" s="74">
        <f>E156</f>
        <v>3759.4406584310091</v>
      </c>
      <c r="D160" s="39">
        <v>0.03</v>
      </c>
      <c r="E160" s="74">
        <f t="shared" ref="E160:E161" si="9">C160*D160</f>
        <v>112.78321975293026</v>
      </c>
      <c r="F160" s="75"/>
      <c r="G160" s="9"/>
      <c r="H160" s="9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81" t="s">
        <v>132</v>
      </c>
      <c r="B161" s="182"/>
      <c r="C161" s="74">
        <f>E156+E160</f>
        <v>3872.2238781839392</v>
      </c>
      <c r="D161" s="39">
        <v>3.7900000000000003E-2</v>
      </c>
      <c r="E161" s="74">
        <f t="shared" si="9"/>
        <v>146.7572849831713</v>
      </c>
      <c r="F161" s="75"/>
      <c r="G161" s="9"/>
      <c r="H161" s="9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6"/>
      <c r="B162" s="151"/>
      <c r="C162" s="151"/>
      <c r="D162" s="151"/>
      <c r="E162" s="152"/>
      <c r="F162" s="75"/>
      <c r="G162" s="9"/>
      <c r="H162" s="9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84" t="s">
        <v>133</v>
      </c>
      <c r="B163" s="186"/>
      <c r="C163" s="186"/>
      <c r="D163" s="186"/>
      <c r="E163" s="182"/>
      <c r="F163" s="12"/>
      <c r="G163" s="9"/>
      <c r="H163" s="9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81" t="s">
        <v>134</v>
      </c>
      <c r="B164" s="182"/>
      <c r="C164" s="145">
        <f>(C161+E161)/((100-6.65)/100)</f>
        <v>4305.2824458137229</v>
      </c>
      <c r="D164" s="39">
        <v>6.4999999999999997E-3</v>
      </c>
      <c r="E164" s="153">
        <f t="shared" ref="E164:E166" si="10">C164*D164</f>
        <v>27.984335897789197</v>
      </c>
      <c r="F164" s="154"/>
      <c r="G164" s="9"/>
      <c r="H164" s="9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81" t="s">
        <v>135</v>
      </c>
      <c r="B165" s="182"/>
      <c r="C165" s="145">
        <f>(C161+E161)/((100-6.65)/100)</f>
        <v>4305.2824458137229</v>
      </c>
      <c r="D165" s="39">
        <v>0.03</v>
      </c>
      <c r="E165" s="153">
        <f t="shared" si="10"/>
        <v>129.15847337441167</v>
      </c>
      <c r="F165" s="154"/>
      <c r="G165" s="9"/>
      <c r="H165" s="9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81" t="s">
        <v>136</v>
      </c>
      <c r="B166" s="182"/>
      <c r="C166" s="145">
        <f>(C161+E161)/((100-6.65)/100)</f>
        <v>4305.2824458137229</v>
      </c>
      <c r="D166" s="39">
        <v>0.03</v>
      </c>
      <c r="E166" s="153">
        <f t="shared" si="10"/>
        <v>129.15847337441167</v>
      </c>
      <c r="F166" s="154"/>
      <c r="G166" s="9"/>
      <c r="H166" s="9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01" t="s">
        <v>137</v>
      </c>
      <c r="B167" s="186"/>
      <c r="C167" s="182"/>
      <c r="D167" s="155">
        <f t="shared" ref="D167:E167" si="11">SUM(D164:D166)</f>
        <v>6.6500000000000004E-2</v>
      </c>
      <c r="E167" s="99">
        <f t="shared" si="11"/>
        <v>286.30128264661255</v>
      </c>
      <c r="F167" s="100"/>
      <c r="G167" s="9"/>
      <c r="H167" s="9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01" t="s">
        <v>138</v>
      </c>
      <c r="B168" s="186"/>
      <c r="C168" s="186"/>
      <c r="D168" s="156">
        <f t="shared" ref="D168:E168" si="12">D160+D161+D167</f>
        <v>0.13440000000000002</v>
      </c>
      <c r="E168" s="157">
        <f t="shared" si="12"/>
        <v>545.84178738271407</v>
      </c>
      <c r="F168" s="91"/>
      <c r="G168" s="9"/>
      <c r="H168" s="9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06" t="s">
        <v>139</v>
      </c>
      <c r="B170" s="186"/>
      <c r="C170" s="186"/>
      <c r="D170" s="186"/>
      <c r="E170" s="101" t="s">
        <v>61</v>
      </c>
      <c r="F170" s="10"/>
      <c r="G170" s="9"/>
      <c r="H170" s="9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81" t="s">
        <v>123</v>
      </c>
      <c r="B171" s="186"/>
      <c r="C171" s="186"/>
      <c r="D171" s="182"/>
      <c r="E171" s="150">
        <f>E62</f>
        <v>1930.444478248</v>
      </c>
      <c r="F171" s="146"/>
      <c r="G171" s="9"/>
      <c r="H171" s="9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81" t="s">
        <v>124</v>
      </c>
      <c r="B172" s="186"/>
      <c r="C172" s="186"/>
      <c r="D172" s="182"/>
      <c r="E172" s="150">
        <f>E98</f>
        <v>1360.5737929999427</v>
      </c>
      <c r="F172" s="146"/>
      <c r="G172" s="9"/>
      <c r="H172" s="9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81" t="s">
        <v>125</v>
      </c>
      <c r="B173" s="186"/>
      <c r="C173" s="186"/>
      <c r="D173" s="182"/>
      <c r="E173" s="150">
        <f>E122</f>
        <v>193.20129779102626</v>
      </c>
      <c r="F173" s="146"/>
      <c r="G173" s="9"/>
      <c r="H173" s="9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81" t="s">
        <v>126</v>
      </c>
      <c r="B174" s="186"/>
      <c r="C174" s="186"/>
      <c r="D174" s="182"/>
      <c r="E174" s="97">
        <f t="shared" ref="E174:E175" si="13">E154</f>
        <v>257.44358939204</v>
      </c>
      <c r="F174" s="98"/>
      <c r="G174" s="9"/>
      <c r="H174" s="9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81" t="s">
        <v>127</v>
      </c>
      <c r="B175" s="186"/>
      <c r="C175" s="186"/>
      <c r="D175" s="182"/>
      <c r="E175" s="150">
        <f t="shared" si="13"/>
        <v>17.7775</v>
      </c>
      <c r="F175" s="146"/>
      <c r="G175" s="9"/>
      <c r="H175" s="9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81" t="s">
        <v>140</v>
      </c>
      <c r="B176" s="186"/>
      <c r="C176" s="186"/>
      <c r="D176" s="182"/>
      <c r="E176" s="158">
        <f>E168</f>
        <v>545.84178738271407</v>
      </c>
      <c r="F176" s="159"/>
      <c r="G176" s="9"/>
      <c r="H176" s="9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10" t="s">
        <v>141</v>
      </c>
      <c r="B177" s="186"/>
      <c r="C177" s="186"/>
      <c r="D177" s="182"/>
      <c r="E177" s="160">
        <f>SUM(E171:E176)</f>
        <v>4305.2824458137229</v>
      </c>
      <c r="F177" s="161"/>
      <c r="G177" s="69"/>
      <c r="H177" s="117"/>
      <c r="I177" s="6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162"/>
      <c r="B178" s="162"/>
      <c r="C178" s="162"/>
      <c r="D178" s="162"/>
      <c r="E178" s="161"/>
      <c r="F178" s="161"/>
      <c r="G178" s="69"/>
      <c r="H178" s="117"/>
      <c r="I178" s="6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G179" s="69"/>
      <c r="H179" s="117"/>
      <c r="I179" s="6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G180" s="69"/>
      <c r="H180" s="117"/>
      <c r="I180" s="6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G181" s="69"/>
      <c r="H181" s="117"/>
      <c r="I181" s="6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G182" s="69"/>
      <c r="H182" s="117"/>
      <c r="I182" s="6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164"/>
      <c r="B183" s="164"/>
      <c r="C183" s="164"/>
      <c r="D183" s="164"/>
      <c r="E183" s="161"/>
      <c r="F183" s="161"/>
      <c r="G183" s="69"/>
      <c r="H183" s="117"/>
      <c r="I183" s="6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164"/>
      <c r="B184" s="164"/>
      <c r="C184" s="164"/>
      <c r="D184" s="164"/>
      <c r="E184" s="161"/>
      <c r="F184" s="161"/>
      <c r="G184" s="69"/>
      <c r="H184" s="117"/>
      <c r="I184" s="6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164"/>
      <c r="B185" s="164"/>
      <c r="C185" s="164"/>
      <c r="D185" s="164"/>
      <c r="E185" s="161"/>
      <c r="F185" s="161"/>
      <c r="G185" s="9"/>
      <c r="H185" s="16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sheetProtection password="EE98" sheet="1" objects="1" scenarios="1"/>
  <mergeCells count="131">
    <mergeCell ref="A141:D141"/>
    <mergeCell ref="A142:E142"/>
    <mergeCell ref="A143:D143"/>
    <mergeCell ref="A147:D147"/>
    <mergeCell ref="A150:D150"/>
    <mergeCell ref="A151:D151"/>
    <mergeCell ref="A152:D152"/>
    <mergeCell ref="A111:C111"/>
    <mergeCell ref="A112:C112"/>
    <mergeCell ref="A114:C114"/>
    <mergeCell ref="A115:C115"/>
    <mergeCell ref="A125:E125"/>
    <mergeCell ref="A126:G126"/>
    <mergeCell ref="B127:B128"/>
    <mergeCell ref="C127:C128"/>
    <mergeCell ref="D127:E127"/>
    <mergeCell ref="F127:H127"/>
    <mergeCell ref="A116:C116"/>
    <mergeCell ref="A118:D118"/>
    <mergeCell ref="A119:D119"/>
    <mergeCell ref="A120:D120"/>
    <mergeCell ref="A121:D121"/>
    <mergeCell ref="A122:C122"/>
    <mergeCell ref="A124:E124"/>
    <mergeCell ref="A100:E100"/>
    <mergeCell ref="A102:C102"/>
    <mergeCell ref="A103:C103"/>
    <mergeCell ref="A104:C104"/>
    <mergeCell ref="A105:C105"/>
    <mergeCell ref="A106:C106"/>
    <mergeCell ref="A108:C108"/>
    <mergeCell ref="A109:C109"/>
    <mergeCell ref="A110:C110"/>
    <mergeCell ref="A171:D171"/>
    <mergeCell ref="A172:D172"/>
    <mergeCell ref="A173:D173"/>
    <mergeCell ref="A174:D174"/>
    <mergeCell ref="A175:D175"/>
    <mergeCell ref="A176:D176"/>
    <mergeCell ref="A177:D177"/>
    <mergeCell ref="A161:B161"/>
    <mergeCell ref="A163:E163"/>
    <mergeCell ref="A164:B164"/>
    <mergeCell ref="A165:B165"/>
    <mergeCell ref="A166:B166"/>
    <mergeCell ref="A167:C167"/>
    <mergeCell ref="A168:C168"/>
    <mergeCell ref="A81:C81"/>
    <mergeCell ref="A153:D153"/>
    <mergeCell ref="A154:D154"/>
    <mergeCell ref="A155:D155"/>
    <mergeCell ref="A156:D156"/>
    <mergeCell ref="A158:E158"/>
    <mergeCell ref="A159:B159"/>
    <mergeCell ref="A160:B160"/>
    <mergeCell ref="A170:D170"/>
    <mergeCell ref="A82:C82"/>
    <mergeCell ref="A84:E84"/>
    <mergeCell ref="A85:D85"/>
    <mergeCell ref="A86:D86"/>
    <mergeCell ref="A87:D87"/>
    <mergeCell ref="A88:D88"/>
    <mergeCell ref="A89:D89"/>
    <mergeCell ref="A90:D90"/>
    <mergeCell ref="A91:D91"/>
    <mergeCell ref="A93:E93"/>
    <mergeCell ref="A94:D94"/>
    <mergeCell ref="A95:D95"/>
    <mergeCell ref="A96:D96"/>
    <mergeCell ref="A97:D97"/>
    <mergeCell ref="A98:D98"/>
    <mergeCell ref="A55:E55"/>
    <mergeCell ref="A75:C75"/>
    <mergeCell ref="A76:C76"/>
    <mergeCell ref="A77:C77"/>
    <mergeCell ref="A78:C78"/>
    <mergeCell ref="A79:C79"/>
    <mergeCell ref="A80:C80"/>
    <mergeCell ref="A69:D69"/>
    <mergeCell ref="A71:E71"/>
    <mergeCell ref="A72:B72"/>
    <mergeCell ref="A73:C73"/>
    <mergeCell ref="A74:C74"/>
    <mergeCell ref="A57:C57"/>
    <mergeCell ref="A58:C58"/>
    <mergeCell ref="A61:C61"/>
    <mergeCell ref="A62:D62"/>
    <mergeCell ref="A64:E64"/>
    <mergeCell ref="A65:E65"/>
    <mergeCell ref="A66:C66"/>
    <mergeCell ref="A67:C67"/>
    <mergeCell ref="A68:C68"/>
    <mergeCell ref="A44:D44"/>
    <mergeCell ref="A46:C46"/>
    <mergeCell ref="A47:C47"/>
    <mergeCell ref="A48:C48"/>
    <mergeCell ref="A49:C49"/>
    <mergeCell ref="A50:C50"/>
    <mergeCell ref="I50:L50"/>
    <mergeCell ref="A51:C51"/>
    <mergeCell ref="A53:E53"/>
    <mergeCell ref="A1:E1"/>
    <mergeCell ref="A2:E2"/>
    <mergeCell ref="B3:D3"/>
    <mergeCell ref="A4:E4"/>
    <mergeCell ref="A5:B5"/>
    <mergeCell ref="C5:E5"/>
    <mergeCell ref="C6:E6"/>
    <mergeCell ref="A6:B6"/>
    <mergeCell ref="A7:B7"/>
    <mergeCell ref="C7:E7"/>
    <mergeCell ref="C8:E8"/>
    <mergeCell ref="C9:E9"/>
    <mergeCell ref="C10:E10"/>
    <mergeCell ref="C11:E11"/>
    <mergeCell ref="A8:B8"/>
    <mergeCell ref="A9:B9"/>
    <mergeCell ref="A10:B10"/>
    <mergeCell ref="A13:B13"/>
    <mergeCell ref="A14:B14"/>
    <mergeCell ref="A15:B15"/>
    <mergeCell ref="A16:B16"/>
    <mergeCell ref="A19:B19"/>
    <mergeCell ref="A21:B21"/>
    <mergeCell ref="A23:C23"/>
    <mergeCell ref="A26:B26"/>
    <mergeCell ref="A29:E29"/>
    <mergeCell ref="A30:A31"/>
    <mergeCell ref="B30:B31"/>
    <mergeCell ref="C30:C31"/>
    <mergeCell ref="D30:E30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topLeftCell="A169" workbookViewId="0">
      <selection activeCell="H182" sqref="H182"/>
    </sheetView>
  </sheetViews>
  <sheetFormatPr defaultColWidth="12.625" defaultRowHeight="15" customHeight="1"/>
  <cols>
    <col min="1" max="1" width="18.125" style="163" customWidth="1"/>
    <col min="2" max="2" width="10.625" style="163" customWidth="1"/>
    <col min="3" max="3" width="8.875" style="163" customWidth="1"/>
    <col min="4" max="4" width="9.5" style="163" customWidth="1"/>
    <col min="5" max="5" width="9.75" style="163" customWidth="1"/>
    <col min="6" max="6" width="9.625" style="163" customWidth="1"/>
    <col min="7" max="7" width="9.875" style="163" customWidth="1"/>
    <col min="8" max="8" width="8.125" style="163" customWidth="1"/>
    <col min="9" max="9" width="14.25" style="163" customWidth="1"/>
    <col min="10" max="11" width="13.625" customWidth="1"/>
    <col min="12" max="12" width="10.125" customWidth="1"/>
    <col min="13" max="13" width="14.75" customWidth="1"/>
    <col min="14" max="18" width="8" customWidth="1"/>
    <col min="19" max="26" width="7.625" customWidth="1"/>
  </cols>
  <sheetData>
    <row r="1" spans="1:26">
      <c r="A1" s="194" t="s">
        <v>0</v>
      </c>
      <c r="B1" s="195"/>
      <c r="C1" s="195"/>
      <c r="D1" s="195"/>
      <c r="E1" s="195"/>
      <c r="F1" s="9"/>
      <c r="G1" s="9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196" t="s">
        <v>1</v>
      </c>
      <c r="B2" s="195"/>
      <c r="C2" s="195"/>
      <c r="D2" s="195"/>
      <c r="E2" s="195"/>
      <c r="F2" s="10"/>
      <c r="G2" s="11"/>
      <c r="H2" s="11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9"/>
      <c r="B3" s="197"/>
      <c r="C3" s="198"/>
      <c r="D3" s="198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84" t="s">
        <v>2</v>
      </c>
      <c r="B4" s="186"/>
      <c r="C4" s="186"/>
      <c r="D4" s="186"/>
      <c r="E4" s="182"/>
      <c r="F4" s="12"/>
      <c r="G4" s="11"/>
      <c r="H4" s="11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1" t="s">
        <v>3</v>
      </c>
      <c r="B5" s="182"/>
      <c r="C5" s="181" t="s">
        <v>4</v>
      </c>
      <c r="D5" s="186"/>
      <c r="E5" s="182"/>
      <c r="F5" s="13"/>
      <c r="G5" s="9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81" t="s">
        <v>5</v>
      </c>
      <c r="B6" s="182"/>
      <c r="C6" s="181" t="s">
        <v>6</v>
      </c>
      <c r="D6" s="186"/>
      <c r="E6" s="182"/>
      <c r="F6" s="13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81" t="s">
        <v>7</v>
      </c>
      <c r="B7" s="182"/>
      <c r="C7" s="181" t="s">
        <v>142</v>
      </c>
      <c r="D7" s="186"/>
      <c r="E7" s="182"/>
      <c r="F7" s="13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81" t="s">
        <v>9</v>
      </c>
      <c r="B8" s="182"/>
      <c r="C8" s="181">
        <v>5174</v>
      </c>
      <c r="D8" s="186"/>
      <c r="E8" s="182"/>
      <c r="F8" s="13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81" t="s">
        <v>10</v>
      </c>
      <c r="B9" s="182"/>
      <c r="C9" s="181" t="s">
        <v>11</v>
      </c>
      <c r="D9" s="186"/>
      <c r="E9" s="182"/>
      <c r="F9" s="13"/>
      <c r="G9" s="9"/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81" t="s">
        <v>12</v>
      </c>
      <c r="B10" s="182"/>
      <c r="C10" s="181" t="s">
        <v>13</v>
      </c>
      <c r="D10" s="186"/>
      <c r="E10" s="182"/>
      <c r="F10" s="13"/>
      <c r="G10" s="9"/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14</v>
      </c>
      <c r="B11" s="15">
        <v>180</v>
      </c>
      <c r="C11" s="191">
        <v>1426.75</v>
      </c>
      <c r="D11" s="186"/>
      <c r="E11" s="182"/>
      <c r="F11" s="13"/>
      <c r="G11" s="9"/>
      <c r="H11" s="16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7"/>
      <c r="D12" s="13"/>
      <c r="E12" s="13"/>
      <c r="F12" s="13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81" t="s">
        <v>15</v>
      </c>
      <c r="B13" s="182"/>
      <c r="C13" s="18" t="s">
        <v>16</v>
      </c>
      <c r="D13" s="18" t="s">
        <v>17</v>
      </c>
      <c r="E13" s="18" t="s">
        <v>18</v>
      </c>
      <c r="F13" s="10"/>
      <c r="G13" s="9"/>
      <c r="H13" s="9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92"/>
      <c r="B14" s="193"/>
      <c r="C14" s="19">
        <v>1</v>
      </c>
      <c r="D14" s="20">
        <v>18.2</v>
      </c>
      <c r="E14" s="21">
        <v>0.19</v>
      </c>
      <c r="F14" s="22"/>
      <c r="G14" s="9"/>
      <c r="H14" s="9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81" t="s">
        <v>19</v>
      </c>
      <c r="B15" s="182"/>
      <c r="C15" s="18" t="s">
        <v>16</v>
      </c>
      <c r="D15" s="18" t="s">
        <v>17</v>
      </c>
      <c r="E15" s="18" t="s">
        <v>18</v>
      </c>
      <c r="F15" s="10"/>
      <c r="G15" s="9"/>
      <c r="H15" s="9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83"/>
      <c r="B16" s="182"/>
      <c r="C16" s="19">
        <v>2</v>
      </c>
      <c r="D16" s="23">
        <v>4</v>
      </c>
      <c r="E16" s="24">
        <v>0.06</v>
      </c>
      <c r="F16" s="25"/>
      <c r="G16" s="9"/>
      <c r="H16" s="9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/>
      <c r="B17" s="27"/>
      <c r="C17" s="28"/>
      <c r="D17" s="29"/>
      <c r="E17" s="30" t="s">
        <v>20</v>
      </c>
      <c r="F17" s="25"/>
      <c r="G17" s="9"/>
      <c r="H17" s="9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/>
      <c r="B18" s="27"/>
      <c r="C18" s="28"/>
      <c r="D18" s="29"/>
      <c r="E18" s="24">
        <v>0.5</v>
      </c>
      <c r="F18" s="25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81" t="s">
        <v>21</v>
      </c>
      <c r="B19" s="182"/>
      <c r="C19" s="28"/>
      <c r="D19" s="23">
        <v>15.62</v>
      </c>
      <c r="E19" s="28"/>
      <c r="F19" s="31"/>
      <c r="G19" s="9"/>
      <c r="H19" s="9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2"/>
      <c r="B20" s="12"/>
      <c r="C20" s="32"/>
      <c r="D20" s="32"/>
      <c r="E20" s="32"/>
      <c r="F20" s="32"/>
      <c r="G20" s="9"/>
      <c r="H20" s="9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4" t="s">
        <v>22</v>
      </c>
      <c r="B21" s="182"/>
      <c r="C21" s="33" t="s">
        <v>23</v>
      </c>
      <c r="D21" s="33" t="s">
        <v>24</v>
      </c>
      <c r="E21" s="18" t="s">
        <v>25</v>
      </c>
      <c r="F21" s="10"/>
      <c r="G21" s="9"/>
      <c r="H21" s="12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4" t="s">
        <v>26</v>
      </c>
      <c r="B22" s="35">
        <v>12</v>
      </c>
      <c r="C22" s="36">
        <v>30</v>
      </c>
      <c r="D22" s="35">
        <v>0</v>
      </c>
      <c r="E22" s="19">
        <f>C22+D22</f>
        <v>30</v>
      </c>
      <c r="F22" s="31"/>
      <c r="G22" s="9"/>
      <c r="H22" s="37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25" t="s">
        <v>27</v>
      </c>
      <c r="B23" s="226"/>
      <c r="C23" s="221"/>
      <c r="D23" s="40"/>
      <c r="E23" s="40"/>
      <c r="F23" s="32"/>
      <c r="G23" s="9"/>
      <c r="H23" s="12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8" t="s">
        <v>28</v>
      </c>
      <c r="B24" s="38"/>
      <c r="C24" s="39">
        <v>0.55730000000000002</v>
      </c>
      <c r="D24" s="40"/>
      <c r="E24" s="40"/>
      <c r="F24" s="32"/>
      <c r="G24" s="9"/>
      <c r="H24" s="41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4" t="s">
        <v>29</v>
      </c>
      <c r="B25" s="38"/>
      <c r="C25" s="39">
        <v>6.1899999999999997E-2</v>
      </c>
      <c r="D25" s="40"/>
      <c r="E25" s="40"/>
      <c r="F25" s="32"/>
      <c r="G25" s="9"/>
      <c r="H25" s="11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81" t="s">
        <v>30</v>
      </c>
      <c r="B26" s="182"/>
      <c r="C26" s="39">
        <v>3.0800000000000001E-2</v>
      </c>
      <c r="D26" s="40"/>
      <c r="E26" s="40"/>
      <c r="F26" s="32"/>
      <c r="G26" s="9"/>
      <c r="H26" s="9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8" t="s">
        <v>31</v>
      </c>
      <c r="B27" s="38"/>
      <c r="C27" s="39">
        <f>(100%-(C24+C25+C26))</f>
        <v>0.35</v>
      </c>
      <c r="D27" s="40"/>
      <c r="E27" s="40"/>
      <c r="F27" s="32"/>
      <c r="G27" s="9"/>
      <c r="H27" s="11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2"/>
      <c r="B28" s="43"/>
      <c r="C28" s="44"/>
      <c r="D28" s="43"/>
      <c r="E28" s="43"/>
      <c r="F28" s="32"/>
      <c r="G28" s="9"/>
      <c r="H28" s="9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87" t="s">
        <v>32</v>
      </c>
      <c r="B29" s="188"/>
      <c r="C29" s="188"/>
      <c r="D29" s="188"/>
      <c r="E29" s="188"/>
      <c r="F29" s="45"/>
      <c r="G29" s="9"/>
      <c r="H29" s="11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89" t="s">
        <v>7</v>
      </c>
      <c r="B30" s="189" t="s">
        <v>33</v>
      </c>
      <c r="C30" s="189" t="s">
        <v>34</v>
      </c>
      <c r="D30" s="199" t="s">
        <v>35</v>
      </c>
      <c r="E30" s="200"/>
      <c r="F30" s="46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90"/>
      <c r="B31" s="190"/>
      <c r="C31" s="190"/>
      <c r="D31" s="47" t="s">
        <v>36</v>
      </c>
      <c r="E31" s="47" t="s">
        <v>37</v>
      </c>
      <c r="F31" s="46"/>
      <c r="G31" s="9"/>
      <c r="H31" s="9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8" t="s">
        <v>38</v>
      </c>
      <c r="B32" s="49">
        <v>1</v>
      </c>
      <c r="C32" s="49">
        <v>5</v>
      </c>
      <c r="D32" s="50">
        <v>0.69040000000000001</v>
      </c>
      <c r="E32" s="51">
        <f t="shared" ref="E32:E43" si="0">B32*C32*D32</f>
        <v>3.452</v>
      </c>
      <c r="F32" s="52"/>
      <c r="G32" s="9"/>
      <c r="H32" s="9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3" t="s">
        <v>39</v>
      </c>
      <c r="B33" s="49">
        <v>1</v>
      </c>
      <c r="C33" s="49">
        <v>1</v>
      </c>
      <c r="D33" s="50">
        <v>1</v>
      </c>
      <c r="E33" s="51">
        <f t="shared" si="0"/>
        <v>1</v>
      </c>
      <c r="F33" s="54"/>
      <c r="G33" s="9"/>
      <c r="H33" s="9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3" t="s">
        <v>40</v>
      </c>
      <c r="B34" s="49">
        <v>0.16420000000000001</v>
      </c>
      <c r="C34" s="49">
        <v>15</v>
      </c>
      <c r="D34" s="50">
        <v>0.69040000000000001</v>
      </c>
      <c r="E34" s="51">
        <f t="shared" si="0"/>
        <v>1.7004552000000002</v>
      </c>
      <c r="F34" s="54"/>
      <c r="G34" s="9"/>
      <c r="H34" s="9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3" t="s">
        <v>41</v>
      </c>
      <c r="B35" s="49">
        <v>1</v>
      </c>
      <c r="C35" s="49">
        <v>5</v>
      </c>
      <c r="D35" s="50">
        <v>0.69040000000000001</v>
      </c>
      <c r="E35" s="51">
        <f t="shared" si="0"/>
        <v>3.452</v>
      </c>
      <c r="F35" s="52"/>
      <c r="G35" s="9"/>
      <c r="H35" s="9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3" t="s">
        <v>42</v>
      </c>
      <c r="B36" s="49">
        <v>0.15310000000000001</v>
      </c>
      <c r="C36" s="49">
        <v>2</v>
      </c>
      <c r="D36" s="50">
        <v>1</v>
      </c>
      <c r="E36" s="51">
        <f t="shared" si="0"/>
        <v>0.30620000000000003</v>
      </c>
      <c r="F36" s="52"/>
      <c r="G36" s="9"/>
      <c r="H36" s="9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3" t="s">
        <v>43</v>
      </c>
      <c r="B37" s="49">
        <v>3.0099999999999998E-2</v>
      </c>
      <c r="C37" s="49">
        <v>2</v>
      </c>
      <c r="D37" s="50">
        <v>0.69040000000000001</v>
      </c>
      <c r="E37" s="51">
        <f t="shared" si="0"/>
        <v>4.1562080000000001E-2</v>
      </c>
      <c r="F37" s="52"/>
      <c r="G37" s="9"/>
      <c r="H37" s="9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3" t="s">
        <v>44</v>
      </c>
      <c r="B38" s="49">
        <v>1.6299999999999999E-2</v>
      </c>
      <c r="C38" s="49">
        <v>3</v>
      </c>
      <c r="D38" s="50">
        <v>1</v>
      </c>
      <c r="E38" s="51">
        <f t="shared" si="0"/>
        <v>4.8899999999999999E-2</v>
      </c>
      <c r="F38" s="52"/>
      <c r="G38" s="9"/>
      <c r="H38" s="9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3" t="s">
        <v>45</v>
      </c>
      <c r="B39" s="49">
        <v>0.02</v>
      </c>
      <c r="C39" s="49">
        <v>1</v>
      </c>
      <c r="D39" s="50">
        <v>1</v>
      </c>
      <c r="E39" s="51">
        <f t="shared" si="0"/>
        <v>0.02</v>
      </c>
      <c r="F39" s="54"/>
      <c r="G39" s="9"/>
      <c r="H39" s="9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5" t="s">
        <v>46</v>
      </c>
      <c r="B40" s="56">
        <v>4.0000000000000001E-3</v>
      </c>
      <c r="C40" s="56">
        <v>1</v>
      </c>
      <c r="D40" s="57">
        <v>1</v>
      </c>
      <c r="E40" s="51">
        <f t="shared" si="0"/>
        <v>4.0000000000000001E-3</v>
      </c>
      <c r="F40" s="54"/>
      <c r="G40" s="9"/>
      <c r="H40" s="9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8" t="s">
        <v>47</v>
      </c>
      <c r="B41" s="59">
        <v>4.2000000000000003E-2</v>
      </c>
      <c r="C41" s="59">
        <v>20</v>
      </c>
      <c r="D41" s="60">
        <v>0.69040000000000001</v>
      </c>
      <c r="E41" s="51">
        <f t="shared" si="0"/>
        <v>0.57993600000000012</v>
      </c>
      <c r="F41" s="54"/>
      <c r="G41" s="9"/>
      <c r="H41" s="9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3" t="s">
        <v>48</v>
      </c>
      <c r="B42" s="49">
        <v>3.8E-3</v>
      </c>
      <c r="C42" s="49">
        <v>180</v>
      </c>
      <c r="D42" s="50">
        <v>0.69040000000000001</v>
      </c>
      <c r="E42" s="51">
        <f t="shared" si="0"/>
        <v>0.47223360000000003</v>
      </c>
      <c r="F42" s="54"/>
      <c r="G42" s="9"/>
      <c r="H42" s="9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5" t="s">
        <v>49</v>
      </c>
      <c r="B43" s="56">
        <v>2.9999999999999997E-4</v>
      </c>
      <c r="C43" s="56">
        <v>6</v>
      </c>
      <c r="D43" s="57">
        <v>1</v>
      </c>
      <c r="E43" s="51">
        <f t="shared" si="0"/>
        <v>1.8E-3</v>
      </c>
      <c r="F43" s="52"/>
      <c r="G43" s="9"/>
      <c r="H43" s="9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01" t="s">
        <v>50</v>
      </c>
      <c r="B44" s="186"/>
      <c r="C44" s="186"/>
      <c r="D44" s="182"/>
      <c r="E44" s="61">
        <f>SUM(E32:E43)</f>
        <v>11.079086879999998</v>
      </c>
      <c r="F44" s="11"/>
      <c r="G44" s="9"/>
      <c r="H44" s="9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62"/>
      <c r="B45" s="63"/>
      <c r="C45" s="63"/>
      <c r="D45" s="63"/>
      <c r="E45" s="11"/>
      <c r="F45" s="11"/>
      <c r="G45" s="9"/>
      <c r="H45" s="9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02" t="s">
        <v>53</v>
      </c>
      <c r="B46" s="186"/>
      <c r="C46" s="182"/>
      <c r="D46" s="66">
        <v>12</v>
      </c>
      <c r="E46" s="9"/>
      <c r="F46" s="9"/>
      <c r="G46" s="9"/>
      <c r="H46" s="9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03" t="s">
        <v>54</v>
      </c>
      <c r="B47" s="186"/>
      <c r="C47" s="182"/>
      <c r="D47" s="67">
        <v>252</v>
      </c>
      <c r="E47" s="9"/>
      <c r="F47" s="9"/>
      <c r="G47" s="9"/>
      <c r="H47" s="9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81" t="s">
        <v>55</v>
      </c>
      <c r="B48" s="186"/>
      <c r="C48" s="182"/>
      <c r="D48" s="67">
        <v>5</v>
      </c>
      <c r="E48" s="9"/>
      <c r="F48" s="9"/>
      <c r="G48" s="9"/>
      <c r="H48" s="9"/>
      <c r="I48" s="204"/>
      <c r="J48" s="205"/>
      <c r="K48" s="205"/>
      <c r="L48" s="20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1" t="s">
        <v>56</v>
      </c>
      <c r="B49" s="186"/>
      <c r="C49" s="182"/>
      <c r="D49" s="68">
        <v>60</v>
      </c>
      <c r="E49" s="69"/>
      <c r="F49" s="69"/>
      <c r="G49" s="165"/>
      <c r="H49" s="69"/>
      <c r="I49" s="6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9"/>
      <c r="B50" s="9"/>
      <c r="C50" s="9"/>
      <c r="D50" s="9"/>
      <c r="E50" s="9"/>
      <c r="F50" s="9"/>
      <c r="G50" s="9"/>
      <c r="H50" s="9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06" t="s">
        <v>143</v>
      </c>
      <c r="B51" s="186"/>
      <c r="C51" s="186"/>
      <c r="D51" s="186"/>
      <c r="E51" s="182"/>
      <c r="F51" s="10"/>
      <c r="G51" s="9"/>
      <c r="H51" s="9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70"/>
      <c r="B52" s="70"/>
      <c r="C52" s="70"/>
      <c r="D52" s="70"/>
      <c r="E52" s="70"/>
      <c r="F52" s="10"/>
      <c r="G52" s="9"/>
      <c r="H52" s="9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07" t="s">
        <v>58</v>
      </c>
      <c r="B53" s="186"/>
      <c r="C53" s="186"/>
      <c r="D53" s="186"/>
      <c r="E53" s="182"/>
      <c r="F53" s="10"/>
      <c r="G53" s="9"/>
      <c r="H53" s="9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71"/>
      <c r="B54" s="72">
        <v>60</v>
      </c>
      <c r="C54" s="73" t="s">
        <v>59</v>
      </c>
      <c r="D54" s="18" t="s">
        <v>60</v>
      </c>
      <c r="E54" s="18" t="s">
        <v>61</v>
      </c>
      <c r="F54" s="10"/>
      <c r="G54" s="9"/>
      <c r="H54" s="9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08" t="s">
        <v>62</v>
      </c>
      <c r="B55" s="186"/>
      <c r="C55" s="182"/>
      <c r="D55" s="38"/>
      <c r="E55" s="74">
        <f>(C11/B11)*B54</f>
        <v>475.58333333333331</v>
      </c>
      <c r="F55" s="75"/>
      <c r="G55" s="9"/>
      <c r="H55" s="9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66" t="s">
        <v>144</v>
      </c>
      <c r="D56" s="167"/>
      <c r="E56" s="168">
        <f>E55/B54</f>
        <v>7.9263888888888889</v>
      </c>
      <c r="F56" s="75"/>
      <c r="G56" s="9"/>
      <c r="H56" s="9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01" t="s">
        <v>67</v>
      </c>
      <c r="B57" s="186"/>
      <c r="C57" s="186"/>
      <c r="D57" s="182"/>
      <c r="E57" s="83">
        <f>SUM(E55+E56)</f>
        <v>483.50972222222219</v>
      </c>
      <c r="F57" s="84"/>
      <c r="G57" s="17"/>
      <c r="H57" s="9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9"/>
      <c r="B58" s="9"/>
      <c r="C58" s="9"/>
      <c r="D58" s="9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206" t="s">
        <v>68</v>
      </c>
      <c r="B59" s="186"/>
      <c r="C59" s="186"/>
      <c r="D59" s="186"/>
      <c r="E59" s="182"/>
      <c r="F59" s="10"/>
      <c r="G59" s="9"/>
      <c r="H59" s="9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84" t="s">
        <v>69</v>
      </c>
      <c r="B60" s="186"/>
      <c r="C60" s="186"/>
      <c r="D60" s="186"/>
      <c r="E60" s="182"/>
      <c r="F60" s="12"/>
      <c r="G60" s="9"/>
      <c r="H60" s="85"/>
      <c r="I60" s="85"/>
      <c r="J60" s="2"/>
      <c r="K60" s="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06"/>
      <c r="B61" s="186"/>
      <c r="C61" s="182"/>
      <c r="D61" s="18" t="s">
        <v>60</v>
      </c>
      <c r="E61" s="18" t="s">
        <v>61</v>
      </c>
      <c r="F61" s="10"/>
      <c r="G61" s="9"/>
      <c r="H61" s="16"/>
      <c r="I61" s="16"/>
      <c r="J61" s="6"/>
      <c r="K61" s="1"/>
      <c r="L61" s="1"/>
      <c r="M61" s="5"/>
      <c r="N61" s="1"/>
      <c r="O61" s="1"/>
      <c r="P61" s="1"/>
      <c r="Q61" s="1"/>
      <c r="R61" s="6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85" t="s">
        <v>70</v>
      </c>
      <c r="B62" s="186"/>
      <c r="C62" s="182"/>
      <c r="D62" s="82">
        <f>1/12</f>
        <v>8.3333333333333329E-2</v>
      </c>
      <c r="E62" s="74">
        <f>E57*D62</f>
        <v>40.292476851851845</v>
      </c>
      <c r="F62" s="75"/>
      <c r="G62" s="9"/>
      <c r="H62" s="9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81" t="s">
        <v>71</v>
      </c>
      <c r="B63" s="186"/>
      <c r="C63" s="182"/>
      <c r="D63" s="82">
        <v>0.33329999999999999</v>
      </c>
      <c r="E63" s="74">
        <f>(E57*D63)/12</f>
        <v>13.42948253472222</v>
      </c>
      <c r="F63" s="75"/>
      <c r="G63" s="9"/>
      <c r="H63" s="9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01" t="s">
        <v>50</v>
      </c>
      <c r="B64" s="186"/>
      <c r="C64" s="186"/>
      <c r="D64" s="182"/>
      <c r="E64" s="83">
        <f>SUM(E62:E63)</f>
        <v>53.721959386574063</v>
      </c>
      <c r="F64" s="84"/>
      <c r="G64" s="9"/>
      <c r="H64" s="9"/>
      <c r="I64" s="9"/>
      <c r="J64" s="1"/>
      <c r="K64" s="1"/>
      <c r="L64" s="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2"/>
      <c r="B65" s="32"/>
      <c r="C65" s="32"/>
      <c r="D65" s="32"/>
      <c r="E65" s="32"/>
      <c r="F65" s="32"/>
      <c r="G65" s="9"/>
      <c r="H65" s="9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84" t="s">
        <v>72</v>
      </c>
      <c r="B66" s="186"/>
      <c r="C66" s="186"/>
      <c r="D66" s="186"/>
      <c r="E66" s="182"/>
      <c r="F66" s="12"/>
      <c r="G66" s="9"/>
      <c r="H66" s="9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81" t="s">
        <v>73</v>
      </c>
      <c r="B67" s="182"/>
      <c r="C67" s="74">
        <f>E57+E64</f>
        <v>537.23168160879629</v>
      </c>
      <c r="D67" s="18" t="s">
        <v>60</v>
      </c>
      <c r="E67" s="18" t="s">
        <v>61</v>
      </c>
      <c r="F67" s="10"/>
      <c r="G67" s="9"/>
      <c r="H67" s="9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81" t="s">
        <v>74</v>
      </c>
      <c r="B68" s="186"/>
      <c r="C68" s="182"/>
      <c r="D68" s="82">
        <v>0.2</v>
      </c>
      <c r="E68" s="86">
        <f t="shared" ref="E68:E74" si="1">$C$67*D68</f>
        <v>107.44633632175926</v>
      </c>
      <c r="F68" s="87"/>
      <c r="G68" s="9"/>
      <c r="H68" s="9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81" t="s">
        <v>75</v>
      </c>
      <c r="B69" s="186"/>
      <c r="C69" s="182"/>
      <c r="D69" s="39">
        <v>2.5000000000000001E-2</v>
      </c>
      <c r="E69" s="86">
        <f t="shared" si="1"/>
        <v>13.430792040219908</v>
      </c>
      <c r="F69" s="87"/>
      <c r="G69" s="9"/>
      <c r="H69" s="9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81" t="s">
        <v>76</v>
      </c>
      <c r="B70" s="186"/>
      <c r="C70" s="182"/>
      <c r="D70" s="39">
        <v>0.03</v>
      </c>
      <c r="E70" s="86">
        <f t="shared" si="1"/>
        <v>16.116950448263889</v>
      </c>
      <c r="F70" s="87"/>
      <c r="G70" s="9"/>
      <c r="H70" s="9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81" t="s">
        <v>77</v>
      </c>
      <c r="B71" s="186"/>
      <c r="C71" s="182"/>
      <c r="D71" s="39">
        <v>1.4999999999999999E-2</v>
      </c>
      <c r="E71" s="86">
        <f t="shared" si="1"/>
        <v>8.0584752241319446</v>
      </c>
      <c r="F71" s="87"/>
      <c r="G71" s="9"/>
      <c r="H71" s="9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81" t="s">
        <v>78</v>
      </c>
      <c r="B72" s="186"/>
      <c r="C72" s="182"/>
      <c r="D72" s="88">
        <v>0.01</v>
      </c>
      <c r="E72" s="86">
        <f t="shared" si="1"/>
        <v>5.3723168160879631</v>
      </c>
      <c r="F72" s="87"/>
      <c r="G72" s="9"/>
      <c r="H72" s="9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81" t="s">
        <v>79</v>
      </c>
      <c r="B73" s="186"/>
      <c r="C73" s="182"/>
      <c r="D73" s="88">
        <v>6.0000000000000001E-3</v>
      </c>
      <c r="E73" s="86">
        <f t="shared" si="1"/>
        <v>3.2233900896527778</v>
      </c>
      <c r="F73" s="87"/>
      <c r="G73" s="9"/>
      <c r="H73" s="9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81" t="s">
        <v>80</v>
      </c>
      <c r="B74" s="186"/>
      <c r="C74" s="182"/>
      <c r="D74" s="88">
        <v>2E-3</v>
      </c>
      <c r="E74" s="86">
        <f t="shared" si="1"/>
        <v>1.0744633632175926</v>
      </c>
      <c r="F74" s="87"/>
      <c r="G74" s="9"/>
      <c r="H74" s="9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01" t="s">
        <v>81</v>
      </c>
      <c r="B75" s="186"/>
      <c r="C75" s="182"/>
      <c r="D75" s="89">
        <f t="shared" ref="D75:E75" si="2">SUM(D68:D74)</f>
        <v>0.28800000000000003</v>
      </c>
      <c r="E75" s="90">
        <f t="shared" si="2"/>
        <v>154.72272430333334</v>
      </c>
      <c r="F75" s="91"/>
      <c r="G75" s="9"/>
      <c r="H75" s="9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81" t="s">
        <v>82</v>
      </c>
      <c r="B76" s="186"/>
      <c r="C76" s="182"/>
      <c r="D76" s="88">
        <v>0.08</v>
      </c>
      <c r="E76" s="86">
        <f>C67*D76</f>
        <v>42.978534528703705</v>
      </c>
      <c r="F76" s="87"/>
      <c r="G76" s="9"/>
      <c r="H76" s="9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01" t="s">
        <v>50</v>
      </c>
      <c r="B77" s="186"/>
      <c r="C77" s="182"/>
      <c r="D77" s="89">
        <f t="shared" ref="D77:E77" si="3">SUM(D75:D76)</f>
        <v>0.36800000000000005</v>
      </c>
      <c r="E77" s="90">
        <f t="shared" si="3"/>
        <v>197.70125883203704</v>
      </c>
      <c r="F77" s="91"/>
      <c r="G77" s="9"/>
      <c r="H77" s="9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2"/>
      <c r="B78" s="32"/>
      <c r="C78" s="32"/>
      <c r="D78" s="32"/>
      <c r="E78" s="32"/>
      <c r="F78" s="32"/>
      <c r="G78" s="9"/>
      <c r="H78" s="9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84" t="s">
        <v>83</v>
      </c>
      <c r="B79" s="186"/>
      <c r="C79" s="186"/>
      <c r="D79" s="186"/>
      <c r="E79" s="182"/>
      <c r="F79" s="12"/>
      <c r="G79" s="9"/>
      <c r="H79" s="9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09"/>
      <c r="B80" s="186"/>
      <c r="C80" s="186"/>
      <c r="D80" s="182"/>
      <c r="E80" s="18" t="s">
        <v>61</v>
      </c>
      <c r="F80" s="10"/>
      <c r="G80" s="9"/>
      <c r="H80" s="9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81" t="s">
        <v>84</v>
      </c>
      <c r="B81" s="186"/>
      <c r="C81" s="186"/>
      <c r="D81" s="182"/>
      <c r="E81" s="92">
        <f>((D16*C16)*D48)-(E11*E18)*E16</f>
        <v>40</v>
      </c>
      <c r="F81" s="93"/>
      <c r="G81" s="9"/>
      <c r="H81" s="9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81" t="s">
        <v>85</v>
      </c>
      <c r="B82" s="186"/>
      <c r="C82" s="186"/>
      <c r="D82" s="182"/>
      <c r="E82" s="92">
        <f>((C14*D14)*D48)-(((C14*D14)*D48)*E14)</f>
        <v>73.710000000000008</v>
      </c>
      <c r="F82" s="93"/>
      <c r="G82" s="9"/>
      <c r="H82" s="9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81" t="s">
        <v>86</v>
      </c>
      <c r="B83" s="186"/>
      <c r="C83" s="186"/>
      <c r="D83" s="182"/>
      <c r="E83" s="92">
        <f>D19</f>
        <v>15.62</v>
      </c>
      <c r="F83" s="93"/>
      <c r="G83" s="9"/>
      <c r="H83" s="9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81" t="s">
        <v>87</v>
      </c>
      <c r="B84" s="186"/>
      <c r="C84" s="186"/>
      <c r="D84" s="182"/>
      <c r="E84" s="92"/>
      <c r="F84" s="93"/>
      <c r="G84" s="9"/>
      <c r="H84" s="9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81" t="s">
        <v>88</v>
      </c>
      <c r="B85" s="186"/>
      <c r="C85" s="186"/>
      <c r="D85" s="182"/>
      <c r="E85" s="92"/>
      <c r="F85" s="93"/>
      <c r="G85" s="9"/>
      <c r="H85" s="9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01" t="s">
        <v>50</v>
      </c>
      <c r="B86" s="186"/>
      <c r="C86" s="186"/>
      <c r="D86" s="182"/>
      <c r="E86" s="94">
        <f>SUM(E81:E85)</f>
        <v>129.33000000000001</v>
      </c>
      <c r="F86" s="95"/>
      <c r="G86" s="9"/>
      <c r="H86" s="9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96"/>
      <c r="B87" s="96"/>
      <c r="C87" s="96"/>
      <c r="D87" s="96"/>
      <c r="E87" s="95"/>
      <c r="F87" s="95"/>
      <c r="G87" s="9"/>
      <c r="H87" s="9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06" t="s">
        <v>89</v>
      </c>
      <c r="B88" s="186"/>
      <c r="C88" s="186"/>
      <c r="D88" s="186"/>
      <c r="E88" s="182"/>
      <c r="F88" s="10"/>
      <c r="G88" s="9"/>
      <c r="H88" s="9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206"/>
      <c r="B89" s="186"/>
      <c r="C89" s="186"/>
      <c r="D89" s="182"/>
      <c r="E89" s="18" t="s">
        <v>61</v>
      </c>
      <c r="F89" s="10"/>
      <c r="G89" s="9"/>
      <c r="H89" s="9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81" t="s">
        <v>69</v>
      </c>
      <c r="B90" s="186"/>
      <c r="C90" s="186"/>
      <c r="D90" s="182"/>
      <c r="E90" s="97">
        <f>E64</f>
        <v>53.721959386574063</v>
      </c>
      <c r="F90" s="98"/>
      <c r="G90" s="9"/>
      <c r="H90" s="9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81" t="s">
        <v>90</v>
      </c>
      <c r="B91" s="186"/>
      <c r="C91" s="186"/>
      <c r="D91" s="182"/>
      <c r="E91" s="97">
        <f>E77</f>
        <v>197.70125883203704</v>
      </c>
      <c r="F91" s="98"/>
      <c r="G91" s="9"/>
      <c r="H91" s="9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81" t="s">
        <v>83</v>
      </c>
      <c r="B92" s="186"/>
      <c r="C92" s="186"/>
      <c r="D92" s="182"/>
      <c r="E92" s="97">
        <f>E86</f>
        <v>129.33000000000001</v>
      </c>
      <c r="F92" s="98"/>
      <c r="G92" s="9"/>
      <c r="H92" s="9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201" t="s">
        <v>91</v>
      </c>
      <c r="B93" s="186"/>
      <c r="C93" s="186"/>
      <c r="D93" s="182"/>
      <c r="E93" s="99">
        <f>SUM(E90:E92)</f>
        <v>380.7532182186111</v>
      </c>
      <c r="F93" s="100"/>
      <c r="G93" s="37"/>
      <c r="H93" s="37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2"/>
      <c r="B94" s="32"/>
      <c r="C94" s="32"/>
      <c r="D94" s="32"/>
      <c r="E94" s="32"/>
      <c r="F94" s="32"/>
      <c r="G94" s="9"/>
      <c r="H94" s="9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06" t="s">
        <v>92</v>
      </c>
      <c r="B95" s="186"/>
      <c r="C95" s="186"/>
      <c r="D95" s="186"/>
      <c r="E95" s="182"/>
      <c r="F95" s="10"/>
      <c r="G95" s="9"/>
      <c r="H95" s="9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71"/>
      <c r="B96" s="72"/>
      <c r="C96" s="72"/>
      <c r="D96" s="72"/>
      <c r="E96" s="101"/>
      <c r="F96" s="10"/>
      <c r="G96" s="9"/>
      <c r="H96" s="9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11" t="s">
        <v>93</v>
      </c>
      <c r="B97" s="186"/>
      <c r="C97" s="182"/>
      <c r="D97" s="102" t="s">
        <v>60</v>
      </c>
      <c r="E97" s="103" t="s">
        <v>61</v>
      </c>
      <c r="F97" s="104"/>
      <c r="G97" s="9"/>
      <c r="H97" s="9"/>
      <c r="I97" s="10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81" t="s">
        <v>94</v>
      </c>
      <c r="B98" s="186"/>
      <c r="C98" s="182"/>
      <c r="D98" s="34"/>
      <c r="E98" s="80">
        <f>((E57+(E93-E75))/$D46)*$C24</f>
        <v>32.952230204452398</v>
      </c>
      <c r="F98" s="16"/>
      <c r="G98" s="37"/>
      <c r="H98" s="37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12" t="s">
        <v>95</v>
      </c>
      <c r="B99" s="186"/>
      <c r="C99" s="182"/>
      <c r="D99" s="106">
        <v>0.08</v>
      </c>
      <c r="E99" s="107">
        <f>E98*D99</f>
        <v>2.6361784163561919</v>
      </c>
      <c r="F99" s="16"/>
      <c r="G99" s="9"/>
      <c r="H99" s="9"/>
      <c r="I99" s="1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12" t="s">
        <v>96</v>
      </c>
      <c r="B100" s="186"/>
      <c r="C100" s="182"/>
      <c r="D100" s="106">
        <v>0.4</v>
      </c>
      <c r="E100" s="107">
        <f>(((((E57+E64)/C22)*E22)*D99)*D100)*C24</f>
        <v>9.5807749171386298</v>
      </c>
      <c r="F100" s="16"/>
      <c r="G100" s="9"/>
      <c r="H100" s="9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13" t="s">
        <v>97</v>
      </c>
      <c r="B101" s="186"/>
      <c r="C101" s="182"/>
      <c r="D101" s="108"/>
      <c r="E101" s="109">
        <f>SUM(E98:E100)</f>
        <v>45.16918353794722</v>
      </c>
      <c r="F101" s="110"/>
      <c r="G101" s="9"/>
      <c r="H101" s="111"/>
      <c r="I101" s="1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12"/>
      <c r="B102" s="112"/>
      <c r="C102" s="112"/>
      <c r="D102" s="113"/>
      <c r="E102" s="114"/>
      <c r="F102" s="114"/>
      <c r="G102" s="9"/>
      <c r="H102" s="9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211" t="s">
        <v>98</v>
      </c>
      <c r="B103" s="186"/>
      <c r="C103" s="182"/>
      <c r="D103" s="108"/>
      <c r="E103" s="107"/>
      <c r="F103" s="16"/>
      <c r="G103" s="9"/>
      <c r="H103" s="9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81" t="s">
        <v>99</v>
      </c>
      <c r="B104" s="186"/>
      <c r="C104" s="182"/>
      <c r="D104" s="34"/>
      <c r="E104" s="107">
        <f>((((E57+E93)/C22)*E22)/B22)*C25</f>
        <v>4.4581563344406314</v>
      </c>
      <c r="F104" s="16"/>
      <c r="G104" s="9"/>
      <c r="H104" s="9"/>
      <c r="I104" s="6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12" t="s">
        <v>100</v>
      </c>
      <c r="B105" s="186"/>
      <c r="C105" s="182"/>
      <c r="D105" s="115">
        <f>D77</f>
        <v>0.36800000000000005</v>
      </c>
      <c r="E105" s="107">
        <f>E104*D105</f>
        <v>1.6406015310741526</v>
      </c>
      <c r="F105" s="16"/>
      <c r="G105" s="9"/>
      <c r="H105" s="9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12" t="s">
        <v>101</v>
      </c>
      <c r="B106" s="186"/>
      <c r="C106" s="182"/>
      <c r="D106" s="34"/>
      <c r="E106" s="107">
        <f>(((((E57+E64)/C22)*E22)*D99)*D100)*C25</f>
        <v>1.0641485149307037</v>
      </c>
      <c r="F106" s="16"/>
      <c r="G106" s="9"/>
      <c r="H106" s="9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13" t="s">
        <v>102</v>
      </c>
      <c r="B107" s="186"/>
      <c r="C107" s="182"/>
      <c r="D107" s="34"/>
      <c r="E107" s="109">
        <f>SUM(E104:E106)</f>
        <v>7.162906380445488</v>
      </c>
      <c r="F107" s="110"/>
      <c r="G107" s="9"/>
      <c r="H107" s="9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12"/>
      <c r="B108" s="112"/>
      <c r="C108" s="112"/>
      <c r="D108" s="32"/>
      <c r="E108" s="114"/>
      <c r="F108" s="114"/>
      <c r="G108" s="9"/>
      <c r="H108" s="9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215" t="s">
        <v>103</v>
      </c>
      <c r="B109" s="186"/>
      <c r="C109" s="182"/>
      <c r="D109" s="38"/>
      <c r="E109" s="101" t="s">
        <v>61</v>
      </c>
      <c r="F109" s="10"/>
      <c r="G109" s="9"/>
      <c r="H109" s="9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216" t="s">
        <v>104</v>
      </c>
      <c r="B110" s="186"/>
      <c r="C110" s="182"/>
      <c r="D110" s="38"/>
      <c r="E110" s="116">
        <f>-E64*C26</f>
        <v>-1.6546363491064813</v>
      </c>
      <c r="F110" s="117"/>
      <c r="G110" s="9"/>
      <c r="H110" s="118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23" t="s">
        <v>105</v>
      </c>
      <c r="B111" s="186"/>
      <c r="C111" s="182"/>
      <c r="D111" s="119"/>
      <c r="E111" s="120">
        <f>SUM(E110)</f>
        <v>-1.6546363491064813</v>
      </c>
      <c r="F111" s="121"/>
      <c r="G111" s="9"/>
      <c r="H111" s="9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22"/>
      <c r="B112" s="123"/>
      <c r="C112" s="124"/>
      <c r="D112" s="119"/>
      <c r="E112" s="120"/>
      <c r="F112" s="121"/>
      <c r="G112" s="9"/>
      <c r="H112" s="9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224" t="s">
        <v>106</v>
      </c>
      <c r="B113" s="186"/>
      <c r="C113" s="186"/>
      <c r="D113" s="182"/>
      <c r="E113" s="101" t="s">
        <v>61</v>
      </c>
      <c r="F113" s="10"/>
      <c r="G113" s="9"/>
      <c r="H113" s="9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81" t="s">
        <v>93</v>
      </c>
      <c r="B114" s="186"/>
      <c r="C114" s="186"/>
      <c r="D114" s="182"/>
      <c r="E114" s="109">
        <f>E101</f>
        <v>45.16918353794722</v>
      </c>
      <c r="F114" s="110"/>
      <c r="G114" s="9"/>
      <c r="H114" s="9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81" t="s">
        <v>98</v>
      </c>
      <c r="B115" s="186"/>
      <c r="C115" s="186"/>
      <c r="D115" s="182"/>
      <c r="E115" s="109">
        <f>E107</f>
        <v>7.162906380445488</v>
      </c>
      <c r="F115" s="110"/>
      <c r="G115" s="9"/>
      <c r="H115" s="9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12" t="s">
        <v>103</v>
      </c>
      <c r="B116" s="186"/>
      <c r="C116" s="186"/>
      <c r="D116" s="182"/>
      <c r="E116" s="109">
        <f>E111</f>
        <v>-1.6546363491064813</v>
      </c>
      <c r="F116" s="121"/>
      <c r="G116" s="9"/>
      <c r="H116" s="9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01" t="s">
        <v>107</v>
      </c>
      <c r="B117" s="186"/>
      <c r="C117" s="182"/>
      <c r="D117" s="38"/>
      <c r="E117" s="125">
        <f>SUM(E114:E116)</f>
        <v>50.677453569286229</v>
      </c>
      <c r="F117" s="114"/>
      <c r="G117" s="9"/>
      <c r="H117" s="9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2"/>
      <c r="B118" s="32"/>
      <c r="C118" s="32"/>
      <c r="D118" s="32"/>
      <c r="E118" s="32"/>
      <c r="F118" s="32"/>
      <c r="G118" s="9"/>
      <c r="H118" s="9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06" t="s">
        <v>108</v>
      </c>
      <c r="B119" s="186"/>
      <c r="C119" s="186"/>
      <c r="D119" s="186"/>
      <c r="E119" s="182"/>
      <c r="F119" s="10"/>
      <c r="G119" s="9"/>
      <c r="H119" s="9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84" t="s">
        <v>109</v>
      </c>
      <c r="B120" s="186"/>
      <c r="C120" s="186"/>
      <c r="D120" s="186"/>
      <c r="E120" s="182"/>
      <c r="F120" s="12"/>
      <c r="G120" s="9"/>
      <c r="H120" s="12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17" t="s">
        <v>110</v>
      </c>
      <c r="B121" s="186"/>
      <c r="C121" s="186"/>
      <c r="D121" s="186"/>
      <c r="E121" s="186"/>
      <c r="F121" s="186"/>
      <c r="G121" s="186"/>
      <c r="H121" s="96"/>
      <c r="I121" s="9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26" t="s">
        <v>7</v>
      </c>
      <c r="B122" s="218" t="s">
        <v>33</v>
      </c>
      <c r="C122" s="218" t="s">
        <v>34</v>
      </c>
      <c r="D122" s="228" t="s">
        <v>111</v>
      </c>
      <c r="E122" s="182"/>
      <c r="F122" s="222" t="s">
        <v>112</v>
      </c>
      <c r="G122" s="186"/>
      <c r="H122" s="182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27">
        <f>(E57+E93+E101)/D48</f>
        <v>181.88642479575611</v>
      </c>
      <c r="B123" s="219"/>
      <c r="C123" s="219"/>
      <c r="D123" s="126" t="s">
        <v>36</v>
      </c>
      <c r="E123" s="126" t="s">
        <v>37</v>
      </c>
      <c r="F123" s="126" t="s">
        <v>36</v>
      </c>
      <c r="G123" s="126" t="s">
        <v>37</v>
      </c>
      <c r="H123" s="128" t="s">
        <v>113</v>
      </c>
      <c r="I123" s="9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29" t="s">
        <v>38</v>
      </c>
      <c r="B124" s="130">
        <v>1</v>
      </c>
      <c r="C124" s="131">
        <v>5</v>
      </c>
      <c r="D124" s="132">
        <v>0.69040000000000001</v>
      </c>
      <c r="E124" s="133">
        <f t="shared" ref="E124:E135" si="4">(B124*C124)*D124</f>
        <v>3.452</v>
      </c>
      <c r="F124" s="132">
        <v>0.5</v>
      </c>
      <c r="G124" s="134">
        <f t="shared" ref="G124:G135" si="5">(B124*C124)*F124</f>
        <v>2.5</v>
      </c>
      <c r="H124" s="135">
        <f>(A123*G124)/12</f>
        <v>37.893005165782519</v>
      </c>
      <c r="I124" s="9"/>
      <c r="J124" s="1"/>
      <c r="K124" s="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36" t="s">
        <v>39</v>
      </c>
      <c r="B125" s="130">
        <v>1</v>
      </c>
      <c r="C125" s="131">
        <v>1</v>
      </c>
      <c r="D125" s="132">
        <v>1</v>
      </c>
      <c r="E125" s="133">
        <f t="shared" si="4"/>
        <v>1</v>
      </c>
      <c r="F125" s="132">
        <v>1</v>
      </c>
      <c r="G125" s="134">
        <f t="shared" si="5"/>
        <v>1</v>
      </c>
      <c r="H125" s="135">
        <f>(A123*G125)/12</f>
        <v>15.15720206631301</v>
      </c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36" t="s">
        <v>40</v>
      </c>
      <c r="B126" s="131">
        <v>0.16420000000000001</v>
      </c>
      <c r="C126" s="131">
        <v>5</v>
      </c>
      <c r="D126" s="132">
        <v>0.69040000000000001</v>
      </c>
      <c r="E126" s="133">
        <f t="shared" si="4"/>
        <v>0.56681840000000006</v>
      </c>
      <c r="F126" s="132">
        <v>0.5</v>
      </c>
      <c r="G126" s="134">
        <f t="shared" si="5"/>
        <v>0.41050000000000003</v>
      </c>
      <c r="H126" s="135">
        <f>(A123*G126)/12</f>
        <v>6.2220314482214905</v>
      </c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36" t="s">
        <v>41</v>
      </c>
      <c r="B127" s="130">
        <v>1</v>
      </c>
      <c r="C127" s="131">
        <v>5</v>
      </c>
      <c r="D127" s="132">
        <v>0.69040000000000001</v>
      </c>
      <c r="E127" s="133">
        <f t="shared" si="4"/>
        <v>3.452</v>
      </c>
      <c r="F127" s="132">
        <v>0.5</v>
      </c>
      <c r="G127" s="134">
        <f t="shared" si="5"/>
        <v>2.5</v>
      </c>
      <c r="H127" s="135">
        <f>(A123*G127)/12</f>
        <v>37.893005165782519</v>
      </c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36" t="s">
        <v>42</v>
      </c>
      <c r="B128" s="131">
        <v>0.15310000000000001</v>
      </c>
      <c r="C128" s="131">
        <v>2</v>
      </c>
      <c r="D128" s="132">
        <v>1</v>
      </c>
      <c r="E128" s="133">
        <f t="shared" si="4"/>
        <v>0.30620000000000003</v>
      </c>
      <c r="F128" s="132">
        <v>1</v>
      </c>
      <c r="G128" s="134">
        <f t="shared" si="5"/>
        <v>0.30620000000000003</v>
      </c>
      <c r="H128" s="135">
        <f>(A123*G128)/12</f>
        <v>4.6411352727050437</v>
      </c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36" t="s">
        <v>43</v>
      </c>
      <c r="B129" s="131">
        <v>3.0099999999999998E-2</v>
      </c>
      <c r="C129" s="131">
        <v>2</v>
      </c>
      <c r="D129" s="132">
        <v>0.69040000000000001</v>
      </c>
      <c r="E129" s="133">
        <f t="shared" si="4"/>
        <v>4.1562080000000001E-2</v>
      </c>
      <c r="F129" s="132">
        <v>0.5</v>
      </c>
      <c r="G129" s="134">
        <f t="shared" si="5"/>
        <v>3.0099999999999998E-2</v>
      </c>
      <c r="H129" s="135">
        <f>(A123*G129)/12</f>
        <v>0.45623178219602156</v>
      </c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36" t="s">
        <v>44</v>
      </c>
      <c r="B130" s="131">
        <v>1.6299999999999999E-2</v>
      </c>
      <c r="C130" s="131">
        <v>3</v>
      </c>
      <c r="D130" s="132">
        <v>1</v>
      </c>
      <c r="E130" s="133">
        <f t="shared" si="4"/>
        <v>4.8899999999999999E-2</v>
      </c>
      <c r="F130" s="132">
        <v>0.5</v>
      </c>
      <c r="G130" s="134">
        <f t="shared" si="5"/>
        <v>2.445E-2</v>
      </c>
      <c r="H130" s="135">
        <f>(A123*G130)/12</f>
        <v>0.3705935905213531</v>
      </c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36" t="s">
        <v>45</v>
      </c>
      <c r="B131" s="130">
        <v>0.02</v>
      </c>
      <c r="C131" s="131">
        <v>1</v>
      </c>
      <c r="D131" s="132">
        <v>1</v>
      </c>
      <c r="E131" s="133">
        <f t="shared" si="4"/>
        <v>0.02</v>
      </c>
      <c r="F131" s="132">
        <v>1</v>
      </c>
      <c r="G131" s="134">
        <f t="shared" si="5"/>
        <v>0.02</v>
      </c>
      <c r="H131" s="135">
        <f>(A123*G131)/12</f>
        <v>0.30314404132626022</v>
      </c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36" t="s">
        <v>46</v>
      </c>
      <c r="B132" s="130">
        <v>4.0000000000000001E-3</v>
      </c>
      <c r="C132" s="131">
        <v>1</v>
      </c>
      <c r="D132" s="132">
        <v>1</v>
      </c>
      <c r="E132" s="133">
        <f t="shared" si="4"/>
        <v>4.0000000000000001E-3</v>
      </c>
      <c r="F132" s="132">
        <v>1</v>
      </c>
      <c r="G132" s="134">
        <f t="shared" si="5"/>
        <v>4.0000000000000001E-3</v>
      </c>
      <c r="H132" s="135">
        <f>(A123*G132)/12</f>
        <v>6.0628808265252042E-2</v>
      </c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36" t="s">
        <v>47</v>
      </c>
      <c r="B133" s="130">
        <v>4.2000000000000003E-2</v>
      </c>
      <c r="C133" s="131">
        <v>20</v>
      </c>
      <c r="D133" s="132">
        <v>0.69040000000000001</v>
      </c>
      <c r="E133" s="133">
        <f t="shared" si="4"/>
        <v>0.57993600000000012</v>
      </c>
      <c r="F133" s="132">
        <v>0.5</v>
      </c>
      <c r="G133" s="134">
        <f t="shared" si="5"/>
        <v>0.42000000000000004</v>
      </c>
      <c r="H133" s="135">
        <f>(A123*G133)/12</f>
        <v>6.3660248678514648</v>
      </c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36" t="s">
        <v>48</v>
      </c>
      <c r="B134" s="131">
        <v>3.8E-3</v>
      </c>
      <c r="C134" s="131">
        <v>180</v>
      </c>
      <c r="D134" s="132">
        <v>0.69040000000000001</v>
      </c>
      <c r="E134" s="133">
        <f t="shared" si="4"/>
        <v>0.47223360000000003</v>
      </c>
      <c r="F134" s="132">
        <v>0.5</v>
      </c>
      <c r="G134" s="134">
        <f t="shared" si="5"/>
        <v>0.34200000000000003</v>
      </c>
      <c r="H134" s="135">
        <f>(A123*G134)/12</f>
        <v>5.1837631066790495</v>
      </c>
      <c r="I134" s="9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36" t="s">
        <v>49</v>
      </c>
      <c r="B135" s="131">
        <v>2.9999999999999997E-4</v>
      </c>
      <c r="C135" s="131">
        <v>6</v>
      </c>
      <c r="D135" s="132">
        <v>1</v>
      </c>
      <c r="E135" s="133">
        <f t="shared" si="4"/>
        <v>1.8E-3</v>
      </c>
      <c r="F135" s="132">
        <v>1</v>
      </c>
      <c r="G135" s="134">
        <f t="shared" si="5"/>
        <v>1.8E-3</v>
      </c>
      <c r="H135" s="135">
        <f>(A123*G135)/12</f>
        <v>2.7282963719363413E-2</v>
      </c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14" t="s">
        <v>50</v>
      </c>
      <c r="B136" s="186"/>
      <c r="C136" s="186"/>
      <c r="D136" s="182"/>
      <c r="E136" s="137">
        <f>SUM(E124:E135)</f>
        <v>9.945450079999997</v>
      </c>
      <c r="F136" s="169"/>
      <c r="G136" s="139">
        <f t="shared" ref="G136:H136" si="6">SUM(G124:G135)</f>
        <v>7.5590499999999983</v>
      </c>
      <c r="H136" s="140">
        <f t="shared" si="6"/>
        <v>114.57404827936335</v>
      </c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06" t="s">
        <v>114</v>
      </c>
      <c r="B137" s="186"/>
      <c r="C137" s="186"/>
      <c r="D137" s="186"/>
      <c r="E137" s="182"/>
      <c r="F137" s="10"/>
      <c r="G137" s="9"/>
      <c r="H137" s="9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84" t="s">
        <v>115</v>
      </c>
      <c r="B138" s="186"/>
      <c r="C138" s="186"/>
      <c r="D138" s="182"/>
      <c r="E138" s="38"/>
      <c r="F138" s="32"/>
      <c r="G138" s="9"/>
      <c r="H138" s="9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41" t="s">
        <v>116</v>
      </c>
      <c r="B139" s="141" t="s">
        <v>117</v>
      </c>
      <c r="C139" s="28" t="s">
        <v>113</v>
      </c>
      <c r="D139" s="28" t="s">
        <v>118</v>
      </c>
      <c r="E139" s="18" t="s">
        <v>61</v>
      </c>
      <c r="F139" s="10"/>
      <c r="G139" s="9"/>
      <c r="H139" s="9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1.75" customHeight="1">
      <c r="A140" s="142" t="s">
        <v>119</v>
      </c>
      <c r="B140" s="143">
        <v>2</v>
      </c>
      <c r="C140" s="144">
        <v>27.83</v>
      </c>
      <c r="D140" s="23">
        <f t="shared" ref="D140:D141" si="7">C140*B140</f>
        <v>55.66</v>
      </c>
      <c r="E140" s="145">
        <f t="shared" ref="E140:E141" si="8">D140/12</f>
        <v>4.6383333333333328</v>
      </c>
      <c r="F140" s="146"/>
      <c r="G140" s="9"/>
      <c r="H140" s="9"/>
      <c r="I140" s="14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5.25" customHeight="1">
      <c r="A141" s="142" t="s">
        <v>120</v>
      </c>
      <c r="B141" s="143">
        <v>1</v>
      </c>
      <c r="C141" s="144">
        <v>157.66999999999999</v>
      </c>
      <c r="D141" s="23">
        <f t="shared" si="7"/>
        <v>157.66999999999999</v>
      </c>
      <c r="E141" s="145">
        <f t="shared" si="8"/>
        <v>13.139166666666666</v>
      </c>
      <c r="F141" s="146"/>
      <c r="G141" s="9"/>
      <c r="H141" s="9"/>
      <c r="I141" s="14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01" t="s">
        <v>121</v>
      </c>
      <c r="B142" s="186"/>
      <c r="C142" s="186"/>
      <c r="D142" s="182"/>
      <c r="E142" s="148">
        <f>SUM(E140:E141)</f>
        <v>17.7775</v>
      </c>
      <c r="F142" s="100"/>
      <c r="G142" s="9"/>
      <c r="H142" s="9"/>
      <c r="I142" s="1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96"/>
      <c r="B143" s="96"/>
      <c r="C143" s="96"/>
      <c r="D143" s="96"/>
      <c r="E143" s="100"/>
      <c r="F143" s="100"/>
      <c r="G143" s="9"/>
      <c r="H143" s="9"/>
      <c r="I143" s="1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96"/>
      <c r="B144" s="96"/>
      <c r="C144" s="96"/>
      <c r="D144" s="96"/>
      <c r="E144" s="32"/>
      <c r="F144" s="32"/>
      <c r="G144" s="9"/>
      <c r="H144" s="9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06" t="s">
        <v>122</v>
      </c>
      <c r="B145" s="186"/>
      <c r="C145" s="186"/>
      <c r="D145" s="182"/>
      <c r="E145" s="18" t="s">
        <v>61</v>
      </c>
      <c r="F145" s="10"/>
      <c r="G145" s="9"/>
      <c r="H145" s="9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81" t="s">
        <v>123</v>
      </c>
      <c r="B146" s="186"/>
      <c r="C146" s="186"/>
      <c r="D146" s="182"/>
      <c r="E146" s="150">
        <f>E57</f>
        <v>483.50972222222219</v>
      </c>
      <c r="F146" s="146"/>
      <c r="G146" s="9"/>
      <c r="H146" s="9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81" t="s">
        <v>124</v>
      </c>
      <c r="B147" s="186"/>
      <c r="C147" s="186"/>
      <c r="D147" s="182"/>
      <c r="E147" s="150">
        <f>E93</f>
        <v>380.7532182186111</v>
      </c>
      <c r="F147" s="146"/>
      <c r="G147" s="9"/>
      <c r="H147" s="9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81" t="s">
        <v>125</v>
      </c>
      <c r="B148" s="186"/>
      <c r="C148" s="186"/>
      <c r="D148" s="182"/>
      <c r="E148" s="150">
        <f>E117</f>
        <v>50.677453569286229</v>
      </c>
      <c r="F148" s="146"/>
      <c r="G148" s="9"/>
      <c r="H148" s="9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81" t="s">
        <v>126</v>
      </c>
      <c r="B149" s="186"/>
      <c r="C149" s="186"/>
      <c r="D149" s="182"/>
      <c r="E149" s="150">
        <f>H136</f>
        <v>114.57404827936335</v>
      </c>
      <c r="F149" s="146"/>
      <c r="G149" s="9"/>
      <c r="H149" s="9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81" t="s">
        <v>127</v>
      </c>
      <c r="B150" s="186"/>
      <c r="C150" s="186"/>
      <c r="D150" s="182"/>
      <c r="E150" s="150">
        <f>E142</f>
        <v>17.7775</v>
      </c>
      <c r="F150" s="146"/>
      <c r="G150" s="9"/>
      <c r="H150" s="9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01" t="s">
        <v>121</v>
      </c>
      <c r="B151" s="186"/>
      <c r="C151" s="186"/>
      <c r="D151" s="182"/>
      <c r="E151" s="99">
        <f>SUM(E146:E150)</f>
        <v>1047.2919422894827</v>
      </c>
      <c r="F151" s="100"/>
      <c r="G151" s="9"/>
      <c r="H151" s="9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06" t="s">
        <v>128</v>
      </c>
      <c r="B153" s="186"/>
      <c r="C153" s="186"/>
      <c r="D153" s="186"/>
      <c r="E153" s="182"/>
      <c r="F153" s="10"/>
      <c r="G153" s="9"/>
      <c r="H153" s="9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85"/>
      <c r="B154" s="182"/>
      <c r="C154" s="18" t="s">
        <v>129</v>
      </c>
      <c r="D154" s="18" t="s">
        <v>130</v>
      </c>
      <c r="E154" s="18" t="s">
        <v>61</v>
      </c>
      <c r="F154" s="10"/>
      <c r="G154" s="9"/>
      <c r="H154" s="9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81" t="s">
        <v>131</v>
      </c>
      <c r="B155" s="182"/>
      <c r="C155" s="74">
        <f>E151</f>
        <v>1047.2919422894827</v>
      </c>
      <c r="D155" s="39">
        <v>0.03</v>
      </c>
      <c r="E155" s="74">
        <f t="shared" ref="E155:E156" si="9">C155*D155</f>
        <v>31.418758268684478</v>
      </c>
      <c r="F155" s="75"/>
      <c r="G155" s="9"/>
      <c r="H155" s="9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81" t="s">
        <v>132</v>
      </c>
      <c r="B156" s="182"/>
      <c r="C156" s="74">
        <f>E151+E155</f>
        <v>1078.7107005581672</v>
      </c>
      <c r="D156" s="39">
        <v>3.7900000000000003E-2</v>
      </c>
      <c r="E156" s="74">
        <f t="shared" si="9"/>
        <v>40.883135551154538</v>
      </c>
      <c r="F156" s="75"/>
      <c r="G156" s="9"/>
      <c r="H156" s="9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6"/>
      <c r="B157" s="151"/>
      <c r="C157" s="151"/>
      <c r="D157" s="151"/>
      <c r="E157" s="152"/>
      <c r="F157" s="75"/>
      <c r="G157" s="9"/>
      <c r="H157" s="9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84" t="s">
        <v>133</v>
      </c>
      <c r="B158" s="186"/>
      <c r="C158" s="186"/>
      <c r="D158" s="186"/>
      <c r="E158" s="182"/>
      <c r="F158" s="12"/>
      <c r="G158" s="9"/>
      <c r="H158" s="9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81" t="s">
        <v>134</v>
      </c>
      <c r="B159" s="182"/>
      <c r="C159" s="145">
        <f>(C156+E156)/((100-6.65)/100)</f>
        <v>1199.350654643087</v>
      </c>
      <c r="D159" s="39">
        <v>6.4999999999999997E-3</v>
      </c>
      <c r="E159" s="153">
        <f t="shared" ref="E159:E161" si="10">C159*D159</f>
        <v>7.7957792551800651</v>
      </c>
      <c r="F159" s="154"/>
      <c r="G159" s="9"/>
      <c r="H159" s="9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81" t="s">
        <v>135</v>
      </c>
      <c r="B160" s="182"/>
      <c r="C160" s="145">
        <f>(C156+E156)/((100-6.65)/100)</f>
        <v>1199.350654643087</v>
      </c>
      <c r="D160" s="39">
        <v>0.03</v>
      </c>
      <c r="E160" s="153">
        <f t="shared" si="10"/>
        <v>35.980519639292609</v>
      </c>
      <c r="F160" s="154"/>
      <c r="G160" s="9"/>
      <c r="H160" s="9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81" t="s">
        <v>136</v>
      </c>
      <c r="B161" s="182"/>
      <c r="C161" s="145">
        <f>(C156+E156)/((100-6.65)/100)</f>
        <v>1199.350654643087</v>
      </c>
      <c r="D161" s="39">
        <v>0.03</v>
      </c>
      <c r="E161" s="153">
        <f t="shared" si="10"/>
        <v>35.980519639292609</v>
      </c>
      <c r="F161" s="154"/>
      <c r="G161" s="9"/>
      <c r="H161" s="9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01" t="s">
        <v>137</v>
      </c>
      <c r="B162" s="186"/>
      <c r="C162" s="182"/>
      <c r="D162" s="155">
        <f t="shared" ref="D162:E162" si="11">SUM(D159:D161)</f>
        <v>6.6500000000000004E-2</v>
      </c>
      <c r="E162" s="99">
        <f t="shared" si="11"/>
        <v>79.756818533765284</v>
      </c>
      <c r="F162" s="100"/>
      <c r="G162" s="9"/>
      <c r="H162" s="9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01" t="s">
        <v>138</v>
      </c>
      <c r="B163" s="186"/>
      <c r="C163" s="186"/>
      <c r="D163" s="156">
        <f t="shared" ref="D163:E163" si="12">D155+D156+D162</f>
        <v>0.13440000000000002</v>
      </c>
      <c r="E163" s="157">
        <f t="shared" si="12"/>
        <v>152.05871235360431</v>
      </c>
      <c r="F163" s="91"/>
      <c r="G163" s="9"/>
      <c r="H163" s="9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06" t="s">
        <v>139</v>
      </c>
      <c r="B165" s="186"/>
      <c r="C165" s="186"/>
      <c r="D165" s="186"/>
      <c r="E165" s="101" t="s">
        <v>61</v>
      </c>
      <c r="F165" s="10"/>
      <c r="G165" s="9"/>
      <c r="H165" s="9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81" t="s">
        <v>123</v>
      </c>
      <c r="B166" s="186"/>
      <c r="C166" s="186"/>
      <c r="D166" s="182"/>
      <c r="E166" s="150">
        <f>E57</f>
        <v>483.50972222222219</v>
      </c>
      <c r="F166" s="146"/>
      <c r="G166" s="9"/>
      <c r="H166" s="9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81" t="s">
        <v>124</v>
      </c>
      <c r="B167" s="186"/>
      <c r="C167" s="186"/>
      <c r="D167" s="182"/>
      <c r="E167" s="150">
        <f>E93</f>
        <v>380.7532182186111</v>
      </c>
      <c r="F167" s="146"/>
      <c r="G167" s="9"/>
      <c r="H167" s="9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81" t="s">
        <v>125</v>
      </c>
      <c r="B168" s="186"/>
      <c r="C168" s="186"/>
      <c r="D168" s="182"/>
      <c r="E168" s="150">
        <f>E117</f>
        <v>50.677453569286229</v>
      </c>
      <c r="F168" s="146"/>
      <c r="G168" s="9"/>
      <c r="H168" s="9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81" t="s">
        <v>126</v>
      </c>
      <c r="B169" s="186"/>
      <c r="C169" s="186"/>
      <c r="D169" s="182"/>
      <c r="E169" s="97">
        <f t="shared" ref="E169:E170" si="13">E149</f>
        <v>114.57404827936335</v>
      </c>
      <c r="F169" s="98"/>
      <c r="G169" s="9"/>
      <c r="H169" s="9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81" t="s">
        <v>127</v>
      </c>
      <c r="B170" s="186"/>
      <c r="C170" s="186"/>
      <c r="D170" s="182"/>
      <c r="E170" s="150">
        <f t="shared" si="13"/>
        <v>17.7775</v>
      </c>
      <c r="F170" s="146"/>
      <c r="G170" s="9"/>
      <c r="H170" s="9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81" t="s">
        <v>140</v>
      </c>
      <c r="B171" s="186"/>
      <c r="C171" s="186"/>
      <c r="D171" s="182"/>
      <c r="E171" s="158">
        <f>E163</f>
        <v>152.05871235360431</v>
      </c>
      <c r="F171" s="159"/>
      <c r="G171" s="9"/>
      <c r="H171" s="9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10" t="s">
        <v>145</v>
      </c>
      <c r="B172" s="186"/>
      <c r="C172" s="186"/>
      <c r="D172" s="182"/>
      <c r="E172" s="160">
        <f>SUM(E166:E171)</f>
        <v>1199.350654643087</v>
      </c>
      <c r="F172" s="161"/>
      <c r="G172" s="69"/>
      <c r="H172" s="117"/>
      <c r="I172" s="6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162"/>
      <c r="B173" s="162"/>
      <c r="C173" s="162"/>
      <c r="D173" s="162"/>
      <c r="E173" s="161"/>
      <c r="F173" s="161"/>
      <c r="G173" s="69"/>
      <c r="H173" s="117"/>
      <c r="I173" s="6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227" t="s">
        <v>146</v>
      </c>
      <c r="B174" s="182"/>
      <c r="C174" s="170" t="s">
        <v>147</v>
      </c>
      <c r="D174" s="171" t="s">
        <v>148</v>
      </c>
      <c r="E174" s="171" t="s">
        <v>149</v>
      </c>
      <c r="F174" s="172" t="s">
        <v>150</v>
      </c>
      <c r="G174" s="172" t="s">
        <v>151</v>
      </c>
      <c r="H174" s="117"/>
      <c r="I174" s="6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227" t="s">
        <v>152</v>
      </c>
      <c r="B175" s="182"/>
      <c r="C175" s="173">
        <v>1</v>
      </c>
      <c r="D175" s="174">
        <v>2</v>
      </c>
      <c r="E175" s="175">
        <f>'Vigia 12NOITE LP'!E177</f>
        <v>4305.2824458137229</v>
      </c>
      <c r="F175" s="176">
        <f>D175*'Vigia 12NOITE LP'!E177</f>
        <v>8610.5648916274458</v>
      </c>
      <c r="G175" s="177">
        <f t="shared" ref="G175:G176" si="14">12*F175</f>
        <v>103326.77869952936</v>
      </c>
      <c r="H175" s="117"/>
      <c r="I175" s="6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227" t="s">
        <v>153</v>
      </c>
      <c r="B176" s="182"/>
      <c r="C176" s="173">
        <v>1</v>
      </c>
      <c r="D176" s="174">
        <v>2</v>
      </c>
      <c r="E176" s="175">
        <f>E172</f>
        <v>1199.350654643087</v>
      </c>
      <c r="F176" s="176">
        <f>D176*'Vigia 12DIA LP'!E172</f>
        <v>2398.7013092861739</v>
      </c>
      <c r="G176" s="177">
        <f t="shared" si="14"/>
        <v>28784.415711434085</v>
      </c>
      <c r="H176" s="16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64"/>
      <c r="B177" s="164"/>
      <c r="C177" s="164"/>
      <c r="D177" s="164"/>
      <c r="F177" s="178">
        <f t="shared" ref="F177:G177" si="15">SUM(F175:F176)</f>
        <v>11009.26620091362</v>
      </c>
      <c r="G177" s="178">
        <f t="shared" si="15"/>
        <v>132111.19441096345</v>
      </c>
      <c r="H177" s="9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9"/>
      <c r="B178" s="9"/>
      <c r="C178" s="9"/>
      <c r="D178" s="9"/>
      <c r="E178" s="179"/>
      <c r="F178" s="9"/>
      <c r="G178" s="9"/>
      <c r="H178" s="9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9"/>
      <c r="B189" s="9"/>
      <c r="C189" s="9"/>
      <c r="D189" s="9"/>
      <c r="E189" s="180"/>
      <c r="F189" s="9"/>
      <c r="G189" s="9"/>
      <c r="H189" s="9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sheetProtection password="EE98" sheet="1" objects="1" scenarios="1"/>
  <mergeCells count="130">
    <mergeCell ref="A136:D136"/>
    <mergeCell ref="A137:E137"/>
    <mergeCell ref="A138:D138"/>
    <mergeCell ref="A142:D142"/>
    <mergeCell ref="A145:D145"/>
    <mergeCell ref="A146:D146"/>
    <mergeCell ref="A147:D147"/>
    <mergeCell ref="A105:C105"/>
    <mergeCell ref="A106:C106"/>
    <mergeCell ref="A107:C107"/>
    <mergeCell ref="A109:C109"/>
    <mergeCell ref="A119:E119"/>
    <mergeCell ref="A120:E120"/>
    <mergeCell ref="A121:G121"/>
    <mergeCell ref="B122:B123"/>
    <mergeCell ref="C122:C123"/>
    <mergeCell ref="D122:E122"/>
    <mergeCell ref="F122:H122"/>
    <mergeCell ref="A110:C110"/>
    <mergeCell ref="A111:C111"/>
    <mergeCell ref="A113:D113"/>
    <mergeCell ref="A114:D114"/>
    <mergeCell ref="A115:D115"/>
    <mergeCell ref="A116:D116"/>
    <mergeCell ref="A117:C117"/>
    <mergeCell ref="A93:D93"/>
    <mergeCell ref="A95:E95"/>
    <mergeCell ref="A97:C97"/>
    <mergeCell ref="A98:C98"/>
    <mergeCell ref="A99:C99"/>
    <mergeCell ref="A100:C100"/>
    <mergeCell ref="A101:C101"/>
    <mergeCell ref="A103:C103"/>
    <mergeCell ref="A104:C104"/>
    <mergeCell ref="A162:C162"/>
    <mergeCell ref="A163:C163"/>
    <mergeCell ref="A172:D172"/>
    <mergeCell ref="A174:B174"/>
    <mergeCell ref="A175:B175"/>
    <mergeCell ref="A176:B176"/>
    <mergeCell ref="A165:D165"/>
    <mergeCell ref="A166:D166"/>
    <mergeCell ref="A167:D167"/>
    <mergeCell ref="A168:D168"/>
    <mergeCell ref="A169:D169"/>
    <mergeCell ref="A170:D170"/>
    <mergeCell ref="A171:D171"/>
    <mergeCell ref="A151:D151"/>
    <mergeCell ref="A153:E153"/>
    <mergeCell ref="A154:B154"/>
    <mergeCell ref="A155:B155"/>
    <mergeCell ref="A156:B156"/>
    <mergeCell ref="A158:E158"/>
    <mergeCell ref="A159:B159"/>
    <mergeCell ref="A160:B160"/>
    <mergeCell ref="A161:B161"/>
    <mergeCell ref="A70:C70"/>
    <mergeCell ref="A71:C71"/>
    <mergeCell ref="A72:C72"/>
    <mergeCell ref="A73:C73"/>
    <mergeCell ref="A74:C74"/>
    <mergeCell ref="A75:C75"/>
    <mergeCell ref="A148:D148"/>
    <mergeCell ref="A149:D149"/>
    <mergeCell ref="A150:D150"/>
    <mergeCell ref="A76:C76"/>
    <mergeCell ref="A77:C77"/>
    <mergeCell ref="A79:E79"/>
    <mergeCell ref="A80:D80"/>
    <mergeCell ref="A81:D81"/>
    <mergeCell ref="A82:D82"/>
    <mergeCell ref="A83:D83"/>
    <mergeCell ref="A84:D84"/>
    <mergeCell ref="A85:D85"/>
    <mergeCell ref="A86:D86"/>
    <mergeCell ref="A88:E88"/>
    <mergeCell ref="A89:D89"/>
    <mergeCell ref="A90:D90"/>
    <mergeCell ref="A91:D91"/>
    <mergeCell ref="A92:D92"/>
    <mergeCell ref="I48:L48"/>
    <mergeCell ref="A30:A31"/>
    <mergeCell ref="B30:B31"/>
    <mergeCell ref="C30:C31"/>
    <mergeCell ref="D30:E30"/>
    <mergeCell ref="A44:D44"/>
    <mergeCell ref="A46:C46"/>
    <mergeCell ref="A47:C47"/>
    <mergeCell ref="A69:C69"/>
    <mergeCell ref="A63:C63"/>
    <mergeCell ref="A64:D64"/>
    <mergeCell ref="A66:E66"/>
    <mergeCell ref="A67:B67"/>
    <mergeCell ref="A68:C68"/>
    <mergeCell ref="A51:E51"/>
    <mergeCell ref="A53:E53"/>
    <mergeCell ref="A55:C55"/>
    <mergeCell ref="A57:D57"/>
    <mergeCell ref="A59:E59"/>
    <mergeCell ref="A60:E60"/>
    <mergeCell ref="A61:C61"/>
    <mergeCell ref="A62:C62"/>
    <mergeCell ref="A1:E1"/>
    <mergeCell ref="A2:E2"/>
    <mergeCell ref="B3:D3"/>
    <mergeCell ref="A4:E4"/>
    <mergeCell ref="A5:B5"/>
    <mergeCell ref="C5:E5"/>
    <mergeCell ref="C6:E6"/>
    <mergeCell ref="A6:B6"/>
    <mergeCell ref="A7:B7"/>
    <mergeCell ref="C7:E7"/>
    <mergeCell ref="C8:E8"/>
    <mergeCell ref="C9:E9"/>
    <mergeCell ref="C10:E10"/>
    <mergeCell ref="C11:E11"/>
    <mergeCell ref="A8:B8"/>
    <mergeCell ref="A9:B9"/>
    <mergeCell ref="A10:B10"/>
    <mergeCell ref="A13:B13"/>
    <mergeCell ref="A14:B14"/>
    <mergeCell ref="A15:B15"/>
    <mergeCell ref="A16:B16"/>
    <mergeCell ref="A19:B19"/>
    <mergeCell ref="A21:B21"/>
    <mergeCell ref="A23:C23"/>
    <mergeCell ref="A26:B26"/>
    <mergeCell ref="A29:E29"/>
    <mergeCell ref="A48:C48"/>
    <mergeCell ref="A49:C49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Vigia 12NOITE LP</vt:lpstr>
      <vt:lpstr>Vigia 12DIA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cp:lastPrinted>2021-10-14T18:24:50Z</cp:lastPrinted>
  <dcterms:created xsi:type="dcterms:W3CDTF">2017-08-17T21:14:09Z</dcterms:created>
  <dcterms:modified xsi:type="dcterms:W3CDTF">2021-10-14T18:25:28Z</dcterms:modified>
</cp:coreProperties>
</file>