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815" yWindow="0" windowWidth="11910" windowHeight="9255" tabRatio="802"/>
  </bookViews>
  <sheets>
    <sheet name="1. Coleta Seletiva" sheetId="2" r:id="rId1"/>
    <sheet name="2.Encargos Sociais" sheetId="8" r:id="rId2"/>
    <sheet name="3.CAGED" sheetId="5" r:id="rId3"/>
    <sheet name="4.BDI" sheetId="4" r:id="rId4"/>
    <sheet name="5. Depreciação" sheetId="6" r:id="rId5"/>
    <sheet name="6.Remuneração de capital" sheetId="7" r:id="rId6"/>
  </sheets>
  <definedNames>
    <definedName name="AbaDeprec">'5. Depreciação'!$A$1</definedName>
    <definedName name="AbaRemun">'6.Remuneração de capital'!$A$1</definedName>
    <definedName name="_xlnm.Print_Area" localSheetId="0">'1. Coleta Seletiva'!$A$1:$F$197</definedName>
    <definedName name="_xlnm.Print_Area" localSheetId="1">'2.Encargos Sociais'!$A$1:$C$36</definedName>
    <definedName name="_xlnm.Print_Titles" localSheetId="0">'1. Coleta Seletiva'!#REF!</definedName>
  </definedNames>
  <calcPr calcId="144525"/>
</workbook>
</file>

<file path=xl/calcChain.xml><?xml version="1.0" encoding="utf-8"?>
<calcChain xmlns="http://schemas.openxmlformats.org/spreadsheetml/2006/main">
  <c r="C13" i="4" l="1"/>
  <c r="C181" i="2" l="1"/>
  <c r="C179" i="2"/>
  <c r="E179" i="2" s="1"/>
  <c r="E177" i="2"/>
  <c r="D166" i="2"/>
  <c r="D164" i="2"/>
  <c r="D162" i="2"/>
  <c r="D160" i="2"/>
  <c r="C158" i="2"/>
  <c r="D158" i="2"/>
  <c r="D156" i="2"/>
  <c r="C156" i="2"/>
  <c r="C166" i="2" s="1"/>
  <c r="E166" i="2" l="1"/>
  <c r="D180" i="2"/>
  <c r="E180" i="2"/>
  <c r="D181" i="2" s="1"/>
  <c r="E181" i="2" s="1"/>
  <c r="F182" i="2" s="1"/>
  <c r="E158" i="2"/>
  <c r="C162" i="2"/>
  <c r="E162" i="2" s="1"/>
  <c r="D167" i="2"/>
  <c r="C160" i="2"/>
  <c r="E160" i="2" s="1"/>
  <c r="E156" i="2"/>
  <c r="C164" i="2"/>
  <c r="E164" i="2" s="1"/>
  <c r="C172" i="2"/>
  <c r="E172" i="2" s="1"/>
  <c r="F173" i="2" s="1"/>
  <c r="F168" i="2" l="1"/>
  <c r="D144" i="2"/>
  <c r="C62" i="2"/>
  <c r="E24" i="2" l="1"/>
  <c r="A24" i="2"/>
  <c r="E30" i="2" l="1"/>
  <c r="E91" i="2" l="1"/>
  <c r="E92" i="2"/>
  <c r="E93" i="2"/>
  <c r="E94" i="2"/>
  <c r="E95" i="2"/>
  <c r="E96" i="2"/>
  <c r="E97" i="2"/>
  <c r="E99" i="2"/>
  <c r="D104" i="2"/>
  <c r="E104" i="2" s="1"/>
  <c r="D105" i="2"/>
  <c r="E105" i="2" s="1"/>
  <c r="D106" i="2"/>
  <c r="E106" i="2" s="1"/>
  <c r="E107" i="2"/>
  <c r="E108" i="2"/>
  <c r="D109" i="2"/>
  <c r="E109" i="2" s="1"/>
  <c r="D110" i="2"/>
  <c r="E110" i="2" s="1"/>
  <c r="D111" i="2"/>
  <c r="E111" i="2" s="1"/>
  <c r="A17" i="2" l="1"/>
  <c r="A16" i="2"/>
  <c r="A15" i="2"/>
  <c r="A29" i="2" l="1"/>
  <c r="D134" i="2" l="1"/>
  <c r="E148" i="2" l="1"/>
  <c r="C146" i="2" l="1"/>
  <c r="E146" i="2" s="1"/>
  <c r="C145" i="2"/>
  <c r="E145" i="2" s="1"/>
  <c r="C144" i="2"/>
  <c r="E144" i="2" s="1"/>
  <c r="E140" i="2"/>
  <c r="C139" i="2"/>
  <c r="E134" i="2"/>
  <c r="E130" i="2"/>
  <c r="C128" i="2"/>
  <c r="E124" i="2"/>
  <c r="E147" i="2" l="1"/>
  <c r="F148" i="2" s="1"/>
  <c r="D127" i="2"/>
  <c r="E127" i="2" s="1"/>
  <c r="D128" i="2" s="1"/>
  <c r="E128" i="2" s="1"/>
  <c r="C136" i="2"/>
  <c r="D129" i="2" l="1"/>
  <c r="E129" i="2" s="1"/>
  <c r="F130" i="2" s="1"/>
  <c r="C137" i="2"/>
  <c r="D138" i="2" s="1"/>
  <c r="E138" i="2" s="1"/>
  <c r="D139" i="2" s="1"/>
  <c r="E87" i="2"/>
  <c r="A11" i="2"/>
  <c r="A10" i="2"/>
  <c r="C63" i="2"/>
  <c r="A62" i="2"/>
  <c r="E16" i="2" l="1"/>
  <c r="E139" i="2"/>
  <c r="F140" i="2" l="1"/>
  <c r="F184" i="2" s="1"/>
  <c r="A69" i="2"/>
  <c r="A68" i="2"/>
  <c r="E56" i="2"/>
  <c r="E48" i="2"/>
  <c r="D51" i="2" s="1"/>
  <c r="E51" i="2" s="1"/>
  <c r="E17" i="2" l="1"/>
  <c r="E15" i="2" s="1"/>
  <c r="A75" i="2"/>
  <c r="A63" i="2"/>
  <c r="E52" i="2"/>
  <c r="D63" i="2" s="1"/>
  <c r="E63" i="2" s="1"/>
  <c r="D53" i="2" l="1"/>
  <c r="A18" i="2"/>
  <c r="A14" i="2"/>
  <c r="A13" i="2"/>
  <c r="A7" i="2"/>
  <c r="E25" i="2" l="1"/>
  <c r="C113" i="2" s="1"/>
  <c r="C98" i="2" l="1"/>
  <c r="E26" i="2"/>
  <c r="C74" i="2"/>
  <c r="C68" i="2"/>
  <c r="E68" i="2" s="1"/>
  <c r="C75" i="2"/>
  <c r="E75" i="2" s="1"/>
  <c r="C69" i="2"/>
  <c r="E69" i="2" s="1"/>
  <c r="F70" i="2" l="1"/>
  <c r="E86" i="2"/>
  <c r="E88" i="2"/>
  <c r="E89" i="2"/>
  <c r="E90" i="2"/>
  <c r="E85" i="2"/>
  <c r="D98" i="2" l="1"/>
  <c r="E98" i="2" s="1"/>
  <c r="F99" i="2" s="1"/>
  <c r="A12" i="2"/>
  <c r="A9" i="2"/>
  <c r="A8" i="2"/>
  <c r="C17" i="8"/>
  <c r="E114" i="2"/>
  <c r="E76" i="2"/>
  <c r="E44" i="2"/>
  <c r="C18" i="4"/>
  <c r="C193" i="2" s="1"/>
  <c r="F11" i="4"/>
  <c r="E11" i="4"/>
  <c r="D11" i="4"/>
  <c r="C14" i="8"/>
  <c r="C27" i="5"/>
  <c r="C22" i="5"/>
  <c r="C21" i="5"/>
  <c r="A25" i="2"/>
  <c r="E38" i="2"/>
  <c r="A74" i="2"/>
  <c r="E112" i="2"/>
  <c r="D113" i="2" s="1"/>
  <c r="E113" i="2" s="1"/>
  <c r="F114" i="2" l="1"/>
  <c r="F116" i="2" s="1"/>
  <c r="G21" i="5"/>
  <c r="C32" i="5"/>
  <c r="E30" i="5"/>
  <c r="D30" i="5" s="1"/>
  <c r="D31" i="5" s="1"/>
  <c r="C31" i="5" s="1"/>
  <c r="D39" i="2"/>
  <c r="E39" i="2" s="1"/>
  <c r="E40" i="2" s="1"/>
  <c r="D41" i="2" l="1"/>
  <c r="D62" i="2"/>
  <c r="E62" i="2" s="1"/>
  <c r="F64" i="2" s="1"/>
  <c r="K28" i="5"/>
  <c r="K29" i="5" s="1"/>
  <c r="K30" i="5" s="1"/>
  <c r="K31" i="5" s="1"/>
  <c r="K32" i="5" s="1"/>
  <c r="K33" i="5" s="1"/>
  <c r="K34" i="5" s="1"/>
  <c r="C22" i="8"/>
  <c r="C31" i="8" s="1"/>
  <c r="F30" i="5"/>
  <c r="G30" i="5" s="1"/>
  <c r="C30" i="5"/>
  <c r="E11" i="2"/>
  <c r="F76" i="2"/>
  <c r="E12" i="2" l="1"/>
  <c r="C29" i="8"/>
  <c r="C34" i="8" s="1"/>
  <c r="C53" i="2" s="1"/>
  <c r="E53" i="2" s="1"/>
  <c r="E54" i="2" s="1"/>
  <c r="D55" i="2" s="1"/>
  <c r="E55" i="2" s="1"/>
  <c r="F56" i="2" s="1"/>
  <c r="G31" i="5"/>
  <c r="G25" i="5"/>
  <c r="E13" i="2"/>
  <c r="C41" i="2" l="1"/>
  <c r="E41" i="2" s="1"/>
  <c r="E14" i="2" l="1"/>
  <c r="E42" i="2"/>
  <c r="D43" i="2" s="1"/>
  <c r="E43" i="2" s="1"/>
  <c r="F44" i="2" s="1"/>
  <c r="F78" i="2" s="1"/>
  <c r="F188" i="2" s="1"/>
  <c r="E9" i="2"/>
  <c r="E8" i="2" l="1"/>
  <c r="E10" i="2"/>
  <c r="E7" i="2" l="1"/>
  <c r="D193" i="2" l="1"/>
  <c r="E193" i="2" s="1"/>
  <c r="F194" i="2" s="1"/>
  <c r="F196" i="2" l="1"/>
  <c r="E18" i="2"/>
  <c r="E19" i="2" s="1"/>
  <c r="F15" i="2" l="1"/>
  <c r="F16" i="2"/>
  <c r="F17" i="2"/>
  <c r="F11" i="2"/>
  <c r="F14" i="2"/>
  <c r="F13" i="2"/>
  <c r="F9" i="2"/>
  <c r="F7" i="2"/>
  <c r="F12" i="2"/>
  <c r="F10" i="2"/>
  <c r="F8" i="2"/>
  <c r="F18" i="2"/>
  <c r="F19" i="2" l="1"/>
</calcChain>
</file>

<file path=xl/comments1.xml><?xml version="1.0" encoding="utf-8"?>
<comments xmlns="http://schemas.openxmlformats.org/spreadsheetml/2006/main">
  <authors>
    <author>Clauber Bridi</author>
  </authors>
  <commentList>
    <comment ref="A5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8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C41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43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48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D49" authorId="0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50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51" author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53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55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60" authorId="0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C61" authorId="0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62" authorId="0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68" authorId="0">
      <text>
        <r>
          <rPr>
            <sz val="9"/>
            <color indexed="81"/>
            <rFont val="Tahoma"/>
            <family val="2"/>
          </rPr>
          <t>Informar o valor unitário diário do vale refeição conforme Convenção Coletiva da categoria</t>
        </r>
      </text>
    </comment>
    <comment ref="D74" authorId="0">
      <text>
        <r>
          <rPr>
            <sz val="9"/>
            <color indexed="81"/>
            <rFont val="Tahoma"/>
            <family val="2"/>
          </rPr>
          <t>Informar o valor mensal do auxilio alimentação conforme Convenção Coletiva da categoria</t>
        </r>
      </text>
    </comment>
    <comment ref="C85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85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86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86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88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88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8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89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90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90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92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92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93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93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94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94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95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95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96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96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97" author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C104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05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06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0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10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11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12" author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D124" author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25" author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26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27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9" author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135" author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5" authorId="0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146" authorId="0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
</t>
        </r>
      </text>
    </comment>
    <comment ref="B152" authorId="0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155" authorId="0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155" author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157" authorId="0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157" author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159" authorId="0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159" authorId="0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161" authorId="0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161" authorId="0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163" author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163" author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165" authorId="0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165" authorId="0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172" authorId="0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177" author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177" author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178" authorId="0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D179" authorId="0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C180" authorId="0">
      <text>
        <r>
          <rPr>
            <sz val="9"/>
            <color indexed="81"/>
            <rFont val="Tahoma"/>
            <family val="2"/>
          </rPr>
          <t xml:space="preserve">Informar a durabilidade média dos pneus considerando as recapagens, em km
</t>
        </r>
      </text>
    </comment>
    <comment ref="C193" authorId="0">
      <text>
        <r>
          <rPr>
            <sz val="9"/>
            <color indexed="81"/>
            <rFont val="Tahoma"/>
            <family val="2"/>
          </rPr>
          <t>Preencher a aba 4.BDI</t>
        </r>
      </text>
    </comment>
  </commentList>
</comments>
</file>

<file path=xl/comments2.xml><?xml version="1.0" encoding="utf-8"?>
<comments xmlns="http://schemas.openxmlformats.org/spreadsheetml/2006/main">
  <authors>
    <author>Jorge Mesquita</author>
  </authors>
  <commentList>
    <comment ref="G30" authorId="0">
      <text>
        <r>
          <rPr>
            <b/>
            <sz val="9"/>
            <color indexed="81"/>
            <rFont val="Tahoma"/>
            <family val="2"/>
          </rPr>
          <t>Jorge Mesquita:</t>
        </r>
        <r>
          <rPr>
            <sz val="9"/>
            <color indexed="81"/>
            <rFont val="Tahoma"/>
            <family val="2"/>
          </rPr>
          <t xml:space="preserve">
Criar um tipo de arredondamento.
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C10" authorId="0">
      <text>
        <r>
          <rPr>
            <b/>
            <sz val="9"/>
            <color indexed="81"/>
            <rFont val="Tahoma"/>
            <family val="2"/>
          </rPr>
          <t>Informar o % de Administração Central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Informar o % de Seguros, Riscos e Garantia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>Informar o % de Lucro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Informar o valor anual da taxa financeira, em percentual. Admite-se utilizar a SELIC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Informar o percentual de ISS, de acordo com a legislação tributária do município onde serão prestados os serviços. De 2% até o limite de 5%.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Informar a média de dias úteis entre data de pagamento prevista no contrato e a data final do período de adimplemento da parcela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 xml:space="preserve">Informar o valor estimado de PIS/COFINS. </t>
        </r>
        <r>
          <rPr>
            <sz val="9"/>
            <color indexed="81"/>
            <rFont val="Tahoma"/>
            <family val="2"/>
          </rPr>
          <t xml:space="preserve">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sharedStrings.xml><?xml version="1.0" encoding="utf-8"?>
<sst xmlns="http://schemas.openxmlformats.org/spreadsheetml/2006/main" count="403" uniqueCount="240">
  <si>
    <t>Adicional de Insalubridade</t>
  </si>
  <si>
    <t>%</t>
  </si>
  <si>
    <t>Soma</t>
  </si>
  <si>
    <t>Encargos Sociais</t>
  </si>
  <si>
    <t>Total do Efetivo</t>
  </si>
  <si>
    <t>homem</t>
  </si>
  <si>
    <t>mês</t>
  </si>
  <si>
    <t>unidade</t>
  </si>
  <si>
    <t>IPVA</t>
  </si>
  <si>
    <t>Seguro contra terceiros</t>
  </si>
  <si>
    <t>Impostos e seguros mensais</t>
  </si>
  <si>
    <t>Custo mensal com óleo diesel</t>
  </si>
  <si>
    <t>Custo mensal com óleo do motor</t>
  </si>
  <si>
    <t>Custo mensal com óleo da transmissão</t>
  </si>
  <si>
    <t>Custo mensal com óleo hidráulico</t>
  </si>
  <si>
    <t>Custo mensal com graxa</t>
  </si>
  <si>
    <t>Calça</t>
  </si>
  <si>
    <t>Camiseta</t>
  </si>
  <si>
    <t>Luva de proteção</t>
  </si>
  <si>
    <t>R$</t>
  </si>
  <si>
    <t>Benefícios e despesas indiretas</t>
  </si>
  <si>
    <t>Custo (R$/mês)</t>
  </si>
  <si>
    <t>Mão-de-obra</t>
  </si>
  <si>
    <t>Quantidade</t>
  </si>
  <si>
    <t>INSS</t>
  </si>
  <si>
    <t>FGTS</t>
  </si>
  <si>
    <t>Planilha de Composição de Custos</t>
  </si>
  <si>
    <t>2. Uniformes e Equipamentos de Proteção Individual</t>
  </si>
  <si>
    <t>3.1.1. Depreciação</t>
  </si>
  <si>
    <t>1. Mão-de-obra</t>
  </si>
  <si>
    <t>par</t>
  </si>
  <si>
    <t>frasco 120g</t>
  </si>
  <si>
    <t>3.1.3. Impostos e Seguros</t>
  </si>
  <si>
    <t>3.1.4. Consumos</t>
  </si>
  <si>
    <t>3.1.5. Manutenção</t>
  </si>
  <si>
    <t>3. Veículos e Equipamentos</t>
  </si>
  <si>
    <t>Custo mensal com pneus</t>
  </si>
  <si>
    <t>Veículos e Equipamentos</t>
  </si>
  <si>
    <t>Total de mão-de-obra (postos de trabalho)</t>
  </si>
  <si>
    <t>3.1.6. Pneus</t>
  </si>
  <si>
    <t>Protetor solar FPS 30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</si>
  <si>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</si>
  <si>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</si>
  <si>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</si>
  <si>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</si>
  <si>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Jaqueta com reflexivo (NBR 15.292)</t>
  </si>
  <si>
    <t>Total por Coletor</t>
  </si>
  <si>
    <t>Administração Central</t>
  </si>
  <si>
    <t>AC</t>
  </si>
  <si>
    <t>Seguros/Riscos/Garantias</t>
  </si>
  <si>
    <t>SRG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</si>
  <si>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</si>
  <si>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</si>
  <si>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</si>
  <si>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</si>
  <si>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</si>
  <si>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</si>
  <si>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</si>
  <si>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</si>
  <si>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dia</t>
  </si>
  <si>
    <t>Custo Mensal com Mão-de-obra (R$/mês)</t>
  </si>
  <si>
    <t>Meia de algodão com cano alto</t>
  </si>
  <si>
    <t>Quantitativos</t>
  </si>
  <si>
    <t>Vida útil do chassis</t>
  </si>
  <si>
    <t>anos</t>
  </si>
  <si>
    <t>Depreciação do chassis</t>
  </si>
  <si>
    <t>Custo de aquisição do chassis</t>
  </si>
  <si>
    <t>i = taxa de juros do mercado (sugere-se adotar a taxa SELIC)</t>
  </si>
  <si>
    <t>n = vida útil do bem em anos</t>
  </si>
  <si>
    <t>3.1.2. Remuneração do Capital</t>
  </si>
  <si>
    <t>Im = investimento médio</t>
  </si>
  <si>
    <t>Investimento médio total do chassis</t>
  </si>
  <si>
    <t>Remuneração mensal de capital do chassis</t>
  </si>
  <si>
    <t>R$ mensal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</si>
  <si>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</si>
  <si>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</si>
  <si>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</si>
  <si>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</si>
  <si>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</si>
  <si>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</si>
  <si>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</si>
  <si>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</si>
  <si>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</si>
  <si>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</si>
  <si>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</si>
  <si>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</si>
  <si>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Rotatividade</t>
  </si>
  <si>
    <t>Demitidos s/ Justa Causa em relação ao Estoque Médio</t>
  </si>
  <si>
    <t>Dias ano</t>
  </si>
  <si>
    <t>Estoque Médio</t>
  </si>
  <si>
    <t>Multa FGTS</t>
  </si>
  <si>
    <t>Fração de tempo para gozo férias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</si>
  <si>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</si>
  <si>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</si>
  <si>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</si>
  <si>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</si>
  <si>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</si>
  <si>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</si>
  <si>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</si>
  <si>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</si>
  <si>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</si>
  <si>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</si>
  <si>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</si>
  <si>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</si>
  <si>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</si>
  <si>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</si>
  <si>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</si>
  <si>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</si>
  <si>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</si>
  <si>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</si>
  <si>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</si>
  <si>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</si>
  <si>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</si>
  <si>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</si>
  <si>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</si>
  <si>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</si>
  <si>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</si>
  <si>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</si>
  <si>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</si>
  <si>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</si>
  <si>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</si>
  <si>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</si>
  <si>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</si>
  <si>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</si>
  <si>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</si>
  <si>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</si>
  <si>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</si>
  <si>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</si>
  <si>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</si>
  <si>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</si>
  <si>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</si>
  <si>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</si>
  <si>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</si>
  <si>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</si>
  <si>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</si>
  <si>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</si>
  <si>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</si>
  <si>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</si>
  <si>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</si>
  <si>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Grupo A sobre aviso prévio indenizado</t>
  </si>
  <si>
    <t>D</t>
  </si>
  <si>
    <t>SOMA GRUPO D</t>
  </si>
  <si>
    <t>SOMA (A+B+C+D)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</si>
  <si>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</si>
  <si>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</si>
  <si>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</si>
  <si>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</si>
  <si>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</si>
  <si>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</si>
  <si>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</si>
  <si>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Higienização de uniformes e EPIs</t>
  </si>
  <si>
    <t>2.2. Uniformes e EPIs para demais categorias</t>
  </si>
  <si>
    <t>Custo Mensal com Uniformes e EPIs (R$/mês)</t>
  </si>
  <si>
    <t>Descrição do Item</t>
  </si>
  <si>
    <t>Orçamento Sintético</t>
  </si>
  <si>
    <t>Rio Grande do Sul  - Coleta de Resíduos Não-Perigosos - CNAE 38114</t>
  </si>
  <si>
    <t>Idade do veículo (ano)</t>
  </si>
  <si>
    <t>Idade do veículo</t>
  </si>
  <si>
    <t>Valor do veículo proposto (V0)</t>
  </si>
  <si>
    <t>Taxa de juros anual nominal</t>
  </si>
  <si>
    <t>Piso da categoria</t>
  </si>
  <si>
    <t>Base de cálculo da Insalubridade</t>
  </si>
  <si>
    <t>Piso da categoria (1)</t>
  </si>
  <si>
    <t>Salário mínimo nacional (2)</t>
  </si>
  <si>
    <t>C2</t>
  </si>
  <si>
    <t>B3</t>
  </si>
  <si>
    <t>Custo Mensal com Veículos e Equipamentos (R$/mês)</t>
  </si>
  <si>
    <t>CUSTO TOTAL MENSAL COM DESPESAS OPERACIONAIS (R$/mês)</t>
  </si>
  <si>
    <t>PREÇO MENSAL TOTAL (R$/mês)</t>
  </si>
  <si>
    <t>3. CAGED</t>
  </si>
  <si>
    <t>4. Composição do BDI - Benefícios e Despesas Indiretas</t>
  </si>
  <si>
    <t xml:space="preserve">2. Composição dos Encargos Sociais </t>
  </si>
  <si>
    <t>5. Depreciação Referencial TCE/RS (%)</t>
  </si>
  <si>
    <r>
      <t>J</t>
    </r>
    <r>
      <rPr>
        <vertAlign val="subscript"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= remuneração de capital mensal</t>
    </r>
  </si>
  <si>
    <r>
      <t>V</t>
    </r>
    <r>
      <rPr>
        <vertAlign val="subscript"/>
        <sz val="12"/>
        <color indexed="8"/>
        <rFont val="Arial"/>
        <family val="2"/>
      </rPr>
      <t>0</t>
    </r>
    <r>
      <rPr>
        <sz val="12"/>
        <color indexed="8"/>
        <rFont val="Arial"/>
        <family val="2"/>
      </rPr>
      <t xml:space="preserve"> = valor inicial do bem</t>
    </r>
  </si>
  <si>
    <r>
      <t>V</t>
    </r>
    <r>
      <rPr>
        <vertAlign val="subscript"/>
        <sz val="12"/>
        <color indexed="8"/>
        <rFont val="Arial"/>
        <family val="2"/>
      </rPr>
      <t>r</t>
    </r>
    <r>
      <rPr>
        <sz val="12"/>
        <color indexed="8"/>
        <rFont val="Arial"/>
        <family val="2"/>
      </rPr>
      <t xml:space="preserve"> = valor residual do bem</t>
    </r>
  </si>
  <si>
    <t>6. Remuneração de Capital</t>
  </si>
  <si>
    <t>Custo unitário</t>
  </si>
  <si>
    <t>CÁLCULO DAS VERBAS INDENIZATÓRIAS DOS EMPREGADOS NO SETOR DE COLETA DE RSU</t>
  </si>
  <si>
    <t>1/3 de férias (dias)</t>
  </si>
  <si>
    <t>Férias (dias)</t>
  </si>
  <si>
    <t>13º Salário (dias)</t>
  </si>
  <si>
    <t>Referência estudo TCE</t>
  </si>
  <si>
    <t>Rotatividade temporal (meses)</t>
  </si>
  <si>
    <t>Fórmula de cálculo da remuneração de capital:</t>
  </si>
  <si>
    <t>Durabilidade (meses)</t>
  </si>
  <si>
    <t>Consumo</t>
  </si>
  <si>
    <t>Total da frota</t>
  </si>
  <si>
    <t>Estoque recuperado início do Período 01-09-2016</t>
  </si>
  <si>
    <t>Estoque recuperado final do Período 31-08-2017</t>
  </si>
  <si>
    <t>Variação Emprego Absoluta de 01-09-2016 a 31-08-2017</t>
  </si>
  <si>
    <t>i</t>
  </si>
  <si>
    <t>Depreciação Média</t>
  </si>
  <si>
    <t>Vale Transporte</t>
  </si>
  <si>
    <t>Dias Trabalhados por mês</t>
  </si>
  <si>
    <t>vale</t>
  </si>
  <si>
    <t>-</t>
  </si>
  <si>
    <t>Botina de segurança</t>
  </si>
  <si>
    <t>Capa de chuva com reflexivo</t>
  </si>
  <si>
    <t>Protetor auricular</t>
  </si>
  <si>
    <t>2.1. Uniformes e EPIs para Separadores</t>
  </si>
  <si>
    <t>Depreciação mensal veículo</t>
  </si>
  <si>
    <t>Total de Veículos e Equipamentos</t>
  </si>
  <si>
    <t>PREÇO TOTAL MENSAL</t>
  </si>
  <si>
    <t>Capecete de segurança</t>
  </si>
  <si>
    <t>Óculos de segurança</t>
  </si>
  <si>
    <t>Capacete de segurança</t>
  </si>
  <si>
    <t>Respirador</t>
  </si>
  <si>
    <t>S</t>
  </si>
  <si>
    <t xml:space="preserve">1. Coleta Seletiva </t>
  </si>
  <si>
    <t>1.2. Motorista Turno Dia</t>
  </si>
  <si>
    <t>Total por Motorista</t>
  </si>
  <si>
    <t>3.1. Caminhão Baú</t>
  </si>
  <si>
    <t>Quilometragem mensal</t>
  </si>
  <si>
    <t>Custo de óleo diesel / km rodado</t>
  </si>
  <si>
    <t>km/l</t>
  </si>
  <si>
    <t>km</t>
  </si>
  <si>
    <t>Custo de Arla diesel / km rodado</t>
  </si>
  <si>
    <t>Custo mensal com Arla</t>
  </si>
  <si>
    <t>Custo de óleo do motor /1.000 km rodados</t>
  </si>
  <si>
    <t>l/1.000 km</t>
  </si>
  <si>
    <t>Custo de óleo da transmissão /1.000 km</t>
  </si>
  <si>
    <t>Custo de óleo hidráulico / 1.000 km</t>
  </si>
  <si>
    <t>Custo de graxa /1.000 km rodados</t>
  </si>
  <si>
    <t>kg/1.000 km</t>
  </si>
  <si>
    <t>Custo com consumos/km rodado</t>
  </si>
  <si>
    <t>R$/km rodado</t>
  </si>
  <si>
    <t>Custo de manutenção do caminhão</t>
  </si>
  <si>
    <t>Número de recapagens por pneu</t>
  </si>
  <si>
    <t>Custo de recapagem</t>
  </si>
  <si>
    <t>km/jogo</t>
  </si>
  <si>
    <t>Custo jg. compl. + 1 recap./ km rodado</t>
  </si>
  <si>
    <t>Custo do jogo de pneus 215/75R17.5</t>
  </si>
  <si>
    <t>4. Benefícios e Despesas Indiretas - BDI</t>
  </si>
  <si>
    <t>Lucro</t>
  </si>
  <si>
    <t>1.1. Coletor de lixo domiciliar (CBO 5142)</t>
  </si>
  <si>
    <t>1.3. Vale Transporte</t>
  </si>
  <si>
    <t>1.4. Vale-refeição (diário)</t>
  </si>
  <si>
    <t>1.5. Auxílio Alimentação (mensal)</t>
  </si>
  <si>
    <t xml:space="preserve">Custo do chassis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</si>
</sst>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0.0000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vertAlign val="subscript"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20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4" fontId="6" fillId="0" borderId="0" xfId="0" applyNumberFormat="1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4" fillId="0" borderId="0" xfId="0" applyFont="1" applyFill="1" applyAlignment="1">
      <alignment vertical="center"/>
    </xf>
    <xf numFmtId="0" fontId="15" fillId="0" borderId="13" xfId="0" applyFont="1" applyBorder="1"/>
    <xf numFmtId="0" fontId="6" fillId="0" borderId="0" xfId="0" applyFont="1" applyBorder="1"/>
    <xf numFmtId="0" fontId="15" fillId="0" borderId="43" xfId="0" applyFont="1" applyBorder="1"/>
    <xf numFmtId="0" fontId="15" fillId="2" borderId="19" xfId="0" applyFont="1" applyFill="1" applyBorder="1"/>
    <xf numFmtId="0" fontId="15" fillId="0" borderId="22" xfId="0" applyFont="1" applyBorder="1"/>
    <xf numFmtId="0" fontId="15" fillId="0" borderId="47" xfId="0" applyFont="1" applyBorder="1"/>
    <xf numFmtId="0" fontId="15" fillId="0" borderId="44" xfId="0" applyFont="1" applyBorder="1"/>
    <xf numFmtId="0" fontId="15" fillId="0" borderId="48" xfId="0" applyFont="1" applyBorder="1"/>
    <xf numFmtId="0" fontId="15" fillId="0" borderId="19" xfId="0" applyFont="1" applyBorder="1"/>
    <xf numFmtId="0" fontId="15" fillId="0" borderId="27" xfId="0" applyFont="1" applyBorder="1"/>
    <xf numFmtId="2" fontId="16" fillId="5" borderId="1" xfId="0" applyNumberFormat="1" applyFont="1" applyFill="1" applyBorder="1" applyAlignment="1">
      <alignment horizontal="right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2" fontId="16" fillId="5" borderId="34" xfId="0" applyNumberFormat="1" applyFont="1" applyFill="1" applyBorder="1" applyAlignment="1">
      <alignment horizontal="right" vertical="center"/>
    </xf>
    <xf numFmtId="0" fontId="16" fillId="0" borderId="22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0" fontId="16" fillId="0" borderId="19" xfId="0" applyNumberFormat="1" applyFont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10" fontId="20" fillId="0" borderId="19" xfId="0" applyNumberFormat="1" applyFont="1" applyBorder="1" applyAlignment="1">
      <alignment horizontal="right" vertical="center"/>
    </xf>
    <xf numFmtId="0" fontId="16" fillId="4" borderId="22" xfId="0" applyFont="1" applyFill="1" applyBorder="1" applyAlignment="1">
      <alignment horizontal="left" vertical="center"/>
    </xf>
    <xf numFmtId="0" fontId="20" fillId="4" borderId="1" xfId="0" applyFont="1" applyFill="1" applyBorder="1" applyAlignment="1">
      <alignment horizontal="left" vertical="center"/>
    </xf>
    <xf numFmtId="10" fontId="20" fillId="4" borderId="19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10" fontId="6" fillId="0" borderId="0" xfId="0" applyNumberFormat="1" applyFont="1"/>
    <xf numFmtId="9" fontId="16" fillId="0" borderId="0" xfId="2" applyFont="1" applyBorder="1" applyAlignment="1">
      <alignment horizontal="right" vertical="center"/>
    </xf>
    <xf numFmtId="10" fontId="6" fillId="0" borderId="0" xfId="0" applyNumberFormat="1" applyFont="1" applyBorder="1"/>
    <xf numFmtId="0" fontId="16" fillId="0" borderId="1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/>
    </xf>
    <xf numFmtId="0" fontId="16" fillId="7" borderId="23" xfId="0" applyFont="1" applyFill="1" applyBorder="1" applyAlignment="1">
      <alignment horizontal="left" vertical="center"/>
    </xf>
    <xf numFmtId="0" fontId="20" fillId="7" borderId="34" xfId="0" applyFont="1" applyFill="1" applyBorder="1" applyAlignment="1">
      <alignment horizontal="left" vertical="center"/>
    </xf>
    <xf numFmtId="10" fontId="20" fillId="7" borderId="35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10" fontId="20" fillId="0" borderId="0" xfId="0" applyNumberFormat="1" applyFont="1" applyFill="1" applyBorder="1" applyAlignment="1">
      <alignment horizontal="right" vertical="center"/>
    </xf>
    <xf numFmtId="0" fontId="22" fillId="3" borderId="0" xfId="0" applyFont="1" applyFill="1" applyBorder="1" applyAlignment="1">
      <alignment horizontal="left" vertical="center"/>
    </xf>
    <xf numFmtId="10" fontId="16" fillId="0" borderId="0" xfId="0" applyNumberFormat="1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left" vertical="center"/>
    </xf>
    <xf numFmtId="10" fontId="16" fillId="0" borderId="0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10" fontId="20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justify" vertical="center"/>
    </xf>
    <xf numFmtId="0" fontId="8" fillId="0" borderId="0" xfId="1" applyFont="1" applyBorder="1" applyAlignment="1" applyProtection="1">
      <alignment horizontal="left" vertical="center"/>
    </xf>
    <xf numFmtId="0" fontId="24" fillId="0" borderId="0" xfId="0" applyFont="1" applyBorder="1"/>
    <xf numFmtId="0" fontId="16" fillId="0" borderId="0" xfId="0" applyFont="1" applyBorder="1" applyAlignment="1">
      <alignment horizontal="right" vertical="center"/>
    </xf>
    <xf numFmtId="0" fontId="8" fillId="0" borderId="0" xfId="1" applyFont="1" applyBorder="1" applyAlignment="1" applyProtection="1">
      <alignment vertical="center"/>
    </xf>
    <xf numFmtId="0" fontId="5" fillId="0" borderId="14" xfId="0" applyFont="1" applyBorder="1"/>
    <xf numFmtId="0" fontId="5" fillId="0" borderId="22" xfId="0" applyFont="1" applyBorder="1"/>
    <xf numFmtId="0" fontId="5" fillId="2" borderId="19" xfId="0" applyFont="1" applyFill="1" applyBorder="1"/>
    <xf numFmtId="0" fontId="5" fillId="0" borderId="43" xfId="0" applyFont="1" applyBorder="1"/>
    <xf numFmtId="0" fontId="5" fillId="2" borderId="44" xfId="0" applyFont="1" applyFill="1" applyBorder="1"/>
    <xf numFmtId="0" fontId="5" fillId="0" borderId="45" xfId="0" applyFont="1" applyBorder="1"/>
    <xf numFmtId="0" fontId="5" fillId="2" borderId="46" xfId="0" applyFont="1" applyFill="1" applyBorder="1"/>
    <xf numFmtId="0" fontId="5" fillId="0" borderId="36" xfId="0" applyFont="1" applyBorder="1"/>
    <xf numFmtId="0" fontId="5" fillId="0" borderId="37" xfId="0" applyFont="1" applyBorder="1"/>
    <xf numFmtId="0" fontId="7" fillId="0" borderId="44" xfId="0" applyFont="1" applyBorder="1"/>
    <xf numFmtId="9" fontId="7" fillId="0" borderId="44" xfId="0" applyNumberFormat="1" applyFont="1" applyBorder="1"/>
    <xf numFmtId="0" fontId="7" fillId="0" borderId="36" xfId="0" applyFont="1" applyFill="1" applyBorder="1" applyAlignment="1">
      <alignment horizontal="left" vertical="center"/>
    </xf>
    <xf numFmtId="0" fontId="5" fillId="0" borderId="0" xfId="0" applyFont="1" applyBorder="1"/>
    <xf numFmtId="9" fontId="5" fillId="0" borderId="22" xfId="2" applyFont="1" applyBorder="1"/>
    <xf numFmtId="9" fontId="5" fillId="0" borderId="1" xfId="2" applyFont="1" applyBorder="1" applyAlignment="1">
      <alignment horizontal="center"/>
    </xf>
    <xf numFmtId="9" fontId="5" fillId="0" borderId="19" xfId="2" applyFont="1" applyBorder="1"/>
    <xf numFmtId="0" fontId="5" fillId="0" borderId="20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center" vertical="center"/>
    </xf>
    <xf numFmtId="10" fontId="5" fillId="2" borderId="11" xfId="0" applyNumberFormat="1" applyFont="1" applyFill="1" applyBorder="1" applyAlignment="1">
      <alignment horizontal="center" vertical="center"/>
    </xf>
    <xf numFmtId="10" fontId="5" fillId="0" borderId="19" xfId="2" applyNumberFormat="1" applyFont="1" applyBorder="1"/>
    <xf numFmtId="0" fontId="5" fillId="0" borderId="2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0" fontId="5" fillId="2" borderId="19" xfId="0" applyNumberFormat="1" applyFont="1" applyFill="1" applyBorder="1" applyAlignment="1">
      <alignment horizontal="center" vertical="center"/>
    </xf>
    <xf numFmtId="10" fontId="5" fillId="2" borderId="1" xfId="2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9" xfId="0" applyFont="1" applyBorder="1"/>
    <xf numFmtId="0" fontId="5" fillId="0" borderId="23" xfId="0" applyFont="1" applyFill="1" applyBorder="1" applyAlignment="1">
      <alignment horizontal="left" vertical="center"/>
    </xf>
    <xf numFmtId="10" fontId="5" fillId="2" borderId="35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4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10" fontId="5" fillId="0" borderId="26" xfId="0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/>
    </xf>
    <xf numFmtId="10" fontId="7" fillId="4" borderId="7" xfId="0" applyNumberFormat="1" applyFont="1" applyFill="1" applyBorder="1" applyAlignment="1">
      <alignment horizontal="center" vertical="center" wrapText="1"/>
    </xf>
    <xf numFmtId="10" fontId="5" fillId="0" borderId="22" xfId="2" applyNumberFormat="1" applyFont="1" applyBorder="1" applyAlignment="1">
      <alignment horizontal="right"/>
    </xf>
    <xf numFmtId="10" fontId="5" fillId="0" borderId="1" xfId="2" applyNumberFormat="1" applyFont="1" applyBorder="1" applyAlignment="1">
      <alignment horizontal="right"/>
    </xf>
    <xf numFmtId="10" fontId="5" fillId="0" borderId="19" xfId="2" applyNumberFormat="1" applyFont="1" applyBorder="1" applyAlignment="1">
      <alignment horizontal="right"/>
    </xf>
    <xf numFmtId="10" fontId="5" fillId="0" borderId="23" xfId="2" applyNumberFormat="1" applyFont="1" applyBorder="1" applyAlignment="1">
      <alignment horizontal="right"/>
    </xf>
    <xf numFmtId="10" fontId="5" fillId="0" borderId="34" xfId="2" applyNumberFormat="1" applyFont="1" applyBorder="1" applyAlignment="1">
      <alignment horizontal="right"/>
    </xf>
    <xf numFmtId="10" fontId="5" fillId="0" borderId="35" xfId="2" applyNumberFormat="1" applyFont="1" applyBorder="1" applyAlignment="1">
      <alignment horizontal="right"/>
    </xf>
    <xf numFmtId="0" fontId="6" fillId="0" borderId="50" xfId="0" applyFont="1" applyBorder="1"/>
    <xf numFmtId="0" fontId="17" fillId="0" borderId="50" xfId="0" applyFont="1" applyBorder="1" applyAlignment="1">
      <alignment horizontal="justify"/>
    </xf>
    <xf numFmtId="0" fontId="17" fillId="0" borderId="51" xfId="0" applyFont="1" applyBorder="1" applyAlignment="1">
      <alignment horizontal="justify"/>
    </xf>
    <xf numFmtId="0" fontId="14" fillId="8" borderId="49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169" fontId="15" fillId="0" borderId="44" xfId="0" applyNumberFormat="1" applyFont="1" applyBorder="1"/>
    <xf numFmtId="169" fontId="7" fillId="0" borderId="44" xfId="0" applyNumberFormat="1" applyFont="1" applyBorder="1"/>
    <xf numFmtId="169" fontId="7" fillId="0" borderId="30" xfId="0" applyNumberFormat="1" applyFont="1" applyBorder="1"/>
    <xf numFmtId="0" fontId="5" fillId="0" borderId="22" xfId="0" applyFont="1" applyBorder="1" applyAlignment="1">
      <alignment horizontal="right"/>
    </xf>
    <xf numFmtId="165" fontId="3" fillId="3" borderId="0" xfId="3" applyFont="1" applyFill="1" applyBorder="1" applyAlignment="1">
      <alignment horizontal="center" vertical="center"/>
    </xf>
    <xf numFmtId="165" fontId="3" fillId="3" borderId="0" xfId="3" applyFont="1" applyFill="1" applyBorder="1" applyAlignment="1">
      <alignment vertical="center"/>
    </xf>
    <xf numFmtId="165" fontId="6" fillId="3" borderId="0" xfId="3" applyFont="1" applyFill="1" applyBorder="1" applyAlignment="1">
      <alignment vertical="center"/>
    </xf>
    <xf numFmtId="165" fontId="3" fillId="3" borderId="38" xfId="3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4" fontId="0" fillId="3" borderId="0" xfId="0" applyNumberFormat="1" applyFill="1" applyAlignment="1">
      <alignment vertical="center"/>
    </xf>
    <xf numFmtId="165" fontId="0" fillId="3" borderId="0" xfId="3" applyFont="1" applyFill="1" applyAlignment="1">
      <alignment vertical="center"/>
    </xf>
    <xf numFmtId="0" fontId="0" fillId="3" borderId="0" xfId="0" applyFill="1" applyAlignment="1">
      <alignment vertical="center"/>
    </xf>
    <xf numFmtId="165" fontId="5" fillId="3" borderId="0" xfId="3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3" borderId="36" xfId="0" applyFill="1" applyBorder="1" applyAlignment="1">
      <alignment vertical="center"/>
    </xf>
    <xf numFmtId="4" fontId="0" fillId="3" borderId="0" xfId="0" applyNumberFormat="1" applyFill="1" applyBorder="1" applyAlignment="1">
      <alignment vertical="center"/>
    </xf>
    <xf numFmtId="165" fontId="0" fillId="3" borderId="0" xfId="3" applyFont="1" applyFill="1" applyBorder="1" applyAlignment="1">
      <alignment vertical="center"/>
    </xf>
    <xf numFmtId="165" fontId="0" fillId="3" borderId="37" xfId="3" applyFont="1" applyFill="1" applyBorder="1" applyAlignment="1">
      <alignment vertical="center"/>
    </xf>
    <xf numFmtId="165" fontId="3" fillId="3" borderId="18" xfId="3" applyFont="1" applyFill="1" applyBorder="1" applyAlignment="1">
      <alignment horizontal="center" vertical="center"/>
    </xf>
    <xf numFmtId="165" fontId="0" fillId="3" borderId="10" xfId="3" applyFont="1" applyFill="1" applyBorder="1" applyAlignment="1">
      <alignment vertical="center"/>
    </xf>
    <xf numFmtId="165" fontId="3" fillId="3" borderId="10" xfId="3" applyFont="1" applyFill="1" applyBorder="1" applyAlignment="1">
      <alignment vertical="center"/>
    </xf>
    <xf numFmtId="165" fontId="3" fillId="3" borderId="33" xfId="3" applyFont="1" applyFill="1" applyBorder="1" applyAlignment="1">
      <alignment vertical="center"/>
    </xf>
    <xf numFmtId="165" fontId="3" fillId="3" borderId="11" xfId="3" applyFont="1" applyFill="1" applyBorder="1" applyAlignment="1">
      <alignment horizontal="center" vertical="center"/>
    </xf>
    <xf numFmtId="165" fontId="3" fillId="3" borderId="13" xfId="3" applyFont="1" applyFill="1" applyBorder="1" applyAlignment="1">
      <alignment vertical="center"/>
    </xf>
    <xf numFmtId="165" fontId="3" fillId="3" borderId="9" xfId="0" applyNumberFormat="1" applyFont="1" applyFill="1" applyBorder="1" applyAlignment="1">
      <alignment vertical="center"/>
    </xf>
    <xf numFmtId="165" fontId="3" fillId="3" borderId="9" xfId="3" applyFont="1" applyFill="1" applyBorder="1" applyAlignment="1">
      <alignment vertical="center"/>
    </xf>
    <xf numFmtId="168" fontId="3" fillId="3" borderId="1" xfId="0" applyNumberFormat="1" applyFont="1" applyFill="1" applyBorder="1" applyAlignment="1">
      <alignment vertical="center"/>
    </xf>
    <xf numFmtId="10" fontId="3" fillId="3" borderId="14" xfId="2" applyNumberFormat="1" applyFont="1" applyFill="1" applyBorder="1" applyAlignment="1">
      <alignment vertical="center"/>
    </xf>
    <xf numFmtId="165" fontId="3" fillId="3" borderId="0" xfId="3" applyFont="1" applyFill="1" applyAlignment="1">
      <alignment vertical="center"/>
    </xf>
    <xf numFmtId="0" fontId="3" fillId="3" borderId="0" xfId="0" applyFont="1" applyFill="1" applyAlignment="1">
      <alignment vertical="center"/>
    </xf>
    <xf numFmtId="165" fontId="0" fillId="3" borderId="13" xfId="3" applyFont="1" applyFill="1" applyBorder="1" applyAlignment="1">
      <alignment vertical="center"/>
    </xf>
    <xf numFmtId="165" fontId="0" fillId="3" borderId="9" xfId="0" applyNumberFormat="1" applyFill="1" applyBorder="1" applyAlignment="1">
      <alignment vertical="center"/>
    </xf>
    <xf numFmtId="165" fontId="0" fillId="3" borderId="9" xfId="3" applyFont="1" applyFill="1" applyBorder="1" applyAlignment="1">
      <alignment vertical="center"/>
    </xf>
    <xf numFmtId="168" fontId="0" fillId="3" borderId="1" xfId="0" applyNumberFormat="1" applyFill="1" applyBorder="1" applyAlignment="1">
      <alignment vertical="center"/>
    </xf>
    <xf numFmtId="10" fontId="0" fillId="3" borderId="14" xfId="2" applyNumberFormat="1" applyFont="1" applyFill="1" applyBorder="1" applyAlignment="1">
      <alignment vertical="center"/>
    </xf>
    <xf numFmtId="165" fontId="3" fillId="3" borderId="13" xfId="3" applyFont="1" applyFill="1" applyBorder="1" applyAlignment="1">
      <alignment horizontal="left" vertical="center"/>
    </xf>
    <xf numFmtId="4" fontId="3" fillId="3" borderId="9" xfId="0" applyNumberFormat="1" applyFont="1" applyFill="1" applyBorder="1" applyAlignment="1">
      <alignment horizontal="centerContinuous" vertical="center"/>
    </xf>
    <xf numFmtId="165" fontId="1" fillId="3" borderId="13" xfId="3" applyFont="1" applyFill="1" applyBorder="1" applyAlignment="1">
      <alignment horizontal="left" vertical="center"/>
    </xf>
    <xf numFmtId="4" fontId="0" fillId="3" borderId="9" xfId="0" applyNumberFormat="1" applyFill="1" applyBorder="1" applyAlignment="1">
      <alignment horizontal="centerContinuous" vertical="center"/>
    </xf>
    <xf numFmtId="10" fontId="6" fillId="3" borderId="14" xfId="2" applyNumberFormat="1" applyFont="1" applyFill="1" applyBorder="1" applyAlignment="1">
      <alignment vertical="center"/>
    </xf>
    <xf numFmtId="165" fontId="3" fillId="3" borderId="47" xfId="3" applyFont="1" applyFill="1" applyBorder="1" applyAlignment="1">
      <alignment horizontal="left" vertical="center"/>
    </xf>
    <xf numFmtId="168" fontId="3" fillId="3" borderId="3" xfId="0" applyNumberFormat="1" applyFont="1" applyFill="1" applyBorder="1" applyAlignment="1">
      <alignment vertical="center"/>
    </xf>
    <xf numFmtId="4" fontId="3" fillId="3" borderId="28" xfId="0" applyNumberFormat="1" applyFont="1" applyFill="1" applyBorder="1" applyAlignment="1">
      <alignment horizontal="centerContinuous" vertical="center"/>
    </xf>
    <xf numFmtId="165" fontId="3" fillId="3" borderId="28" xfId="3" applyFont="1" applyFill="1" applyBorder="1" applyAlignment="1">
      <alignment vertical="center"/>
    </xf>
    <xf numFmtId="9" fontId="3" fillId="3" borderId="30" xfId="2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165" fontId="6" fillId="3" borderId="0" xfId="3" applyFont="1" applyFill="1" applyAlignment="1">
      <alignment vertical="center"/>
    </xf>
    <xf numFmtId="165" fontId="3" fillId="3" borderId="12" xfId="3" applyFont="1" applyFill="1" applyBorder="1" applyAlignment="1">
      <alignment horizontal="right" vertical="center"/>
    </xf>
    <xf numFmtId="165" fontId="6" fillId="3" borderId="18" xfId="3" applyFont="1" applyFill="1" applyBorder="1" applyAlignment="1">
      <alignment vertical="center"/>
    </xf>
    <xf numFmtId="165" fontId="6" fillId="3" borderId="10" xfId="3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1" fontId="6" fillId="3" borderId="11" xfId="3" applyNumberFormat="1" applyFont="1" applyFill="1" applyBorder="1" applyAlignment="1">
      <alignment horizontal="center" vertical="center"/>
    </xf>
    <xf numFmtId="165" fontId="6" fillId="3" borderId="13" xfId="3" applyFont="1" applyFill="1" applyBorder="1" applyAlignment="1">
      <alignment vertical="center"/>
    </xf>
    <xf numFmtId="165" fontId="6" fillId="3" borderId="9" xfId="3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1" fontId="6" fillId="3" borderId="19" xfId="3" applyNumberFormat="1" applyFont="1" applyFill="1" applyBorder="1" applyAlignment="1">
      <alignment horizontal="center" vertical="center"/>
    </xf>
    <xf numFmtId="165" fontId="3" fillId="3" borderId="27" xfId="3" applyFont="1" applyFill="1" applyBorder="1" applyAlignment="1">
      <alignment vertical="center"/>
    </xf>
    <xf numFmtId="4" fontId="3" fillId="3" borderId="28" xfId="0" applyNumberFormat="1" applyFont="1" applyFill="1" applyBorder="1" applyAlignment="1">
      <alignment vertical="center"/>
    </xf>
    <xf numFmtId="0" fontId="0" fillId="3" borderId="28" xfId="0" applyFill="1" applyBorder="1" applyAlignment="1">
      <alignment vertical="center"/>
    </xf>
    <xf numFmtId="1" fontId="3" fillId="3" borderId="30" xfId="3" applyNumberFormat="1" applyFont="1" applyFill="1" applyBorder="1" applyAlignment="1">
      <alignment horizontal="center" vertical="center"/>
    </xf>
    <xf numFmtId="165" fontId="3" fillId="3" borderId="36" xfId="3" applyFont="1" applyFill="1" applyBorder="1" applyAlignment="1">
      <alignment vertical="center"/>
    </xf>
    <xf numFmtId="4" fontId="3" fillId="3" borderId="0" xfId="0" applyNumberFormat="1" applyFont="1" applyFill="1" applyBorder="1" applyAlignment="1">
      <alignment vertical="center"/>
    </xf>
    <xf numFmtId="165" fontId="6" fillId="3" borderId="37" xfId="3" applyFont="1" applyFill="1" applyBorder="1" applyAlignment="1">
      <alignment vertical="center"/>
    </xf>
    <xf numFmtId="165" fontId="6" fillId="3" borderId="1" xfId="3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1" fontId="6" fillId="3" borderId="1" xfId="3" applyNumberFormat="1" applyFont="1" applyFill="1" applyBorder="1" applyAlignment="1">
      <alignment horizontal="center" vertical="center"/>
    </xf>
    <xf numFmtId="165" fontId="1" fillId="3" borderId="1" xfId="3" applyFont="1" applyFill="1" applyBorder="1" applyAlignment="1">
      <alignment vertical="center"/>
    </xf>
    <xf numFmtId="165" fontId="3" fillId="3" borderId="1" xfId="3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" fontId="3" fillId="3" borderId="1" xfId="3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166" fontId="6" fillId="3" borderId="0" xfId="3" applyNumberFormat="1" applyFont="1" applyFill="1" applyBorder="1" applyAlignment="1">
      <alignment horizontal="center" vertical="center"/>
    </xf>
    <xf numFmtId="165" fontId="3" fillId="3" borderId="5" xfId="3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166" fontId="3" fillId="3" borderId="0" xfId="3" applyNumberFormat="1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165" fontId="10" fillId="3" borderId="16" xfId="3" applyFont="1" applyFill="1" applyBorder="1" applyAlignment="1">
      <alignment horizontal="center" vertical="center"/>
    </xf>
    <xf numFmtId="165" fontId="10" fillId="3" borderId="17" xfId="3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165" fontId="6" fillId="3" borderId="2" xfId="3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3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165" fontId="3" fillId="3" borderId="0" xfId="3" applyFont="1" applyFill="1" applyAlignment="1">
      <alignment horizontal="center" vertical="center"/>
    </xf>
    <xf numFmtId="165" fontId="3" fillId="3" borderId="3" xfId="3" applyFont="1" applyFill="1" applyBorder="1" applyAlignment="1">
      <alignment horizontal="center" vertical="center"/>
    </xf>
    <xf numFmtId="165" fontId="6" fillId="3" borderId="0" xfId="3" applyFont="1" applyFill="1" applyAlignment="1">
      <alignment horizontal="right" vertical="center"/>
    </xf>
    <xf numFmtId="165" fontId="3" fillId="3" borderId="7" xfId="3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65" fontId="3" fillId="3" borderId="1" xfId="3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5" fontId="3" fillId="3" borderId="9" xfId="3" applyFont="1" applyFill="1" applyBorder="1" applyAlignment="1">
      <alignment horizontal="center" vertical="center"/>
    </xf>
    <xf numFmtId="0" fontId="1" fillId="3" borderId="0" xfId="0" applyFont="1" applyFill="1" applyAlignment="1">
      <alignment horizontal="right" vertical="center"/>
    </xf>
    <xf numFmtId="165" fontId="1" fillId="3" borderId="0" xfId="3" applyFont="1" applyFill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166" fontId="1" fillId="3" borderId="1" xfId="3" applyNumberFormat="1" applyFont="1" applyFill="1" applyBorder="1" applyAlignment="1">
      <alignment horizontal="center" vertical="center"/>
    </xf>
    <xf numFmtId="165" fontId="1" fillId="3" borderId="1" xfId="3" applyFont="1" applyFill="1" applyBorder="1" applyAlignment="1">
      <alignment horizontal="center" vertical="center"/>
    </xf>
    <xf numFmtId="166" fontId="1" fillId="3" borderId="1" xfId="3" applyNumberFormat="1" applyFont="1" applyFill="1" applyBorder="1" applyAlignment="1">
      <alignment vertical="center"/>
    </xf>
    <xf numFmtId="43" fontId="1" fillId="3" borderId="2" xfId="3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165" fontId="10" fillId="3" borderId="30" xfId="3" applyFont="1" applyFill="1" applyBorder="1" applyAlignment="1">
      <alignment horizontal="center" vertical="center"/>
    </xf>
    <xf numFmtId="166" fontId="6" fillId="3" borderId="1" xfId="3" applyNumberFormat="1" applyFont="1" applyFill="1" applyBorder="1" applyAlignment="1">
      <alignment vertical="center"/>
    </xf>
    <xf numFmtId="165" fontId="3" fillId="3" borderId="4" xfId="3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165" fontId="3" fillId="3" borderId="6" xfId="3" applyFont="1" applyFill="1" applyBorder="1" applyAlignment="1">
      <alignment vertical="center"/>
    </xf>
    <xf numFmtId="165" fontId="3" fillId="3" borderId="7" xfId="3" applyFont="1" applyFill="1" applyBorder="1" applyAlignment="1">
      <alignment vertical="center"/>
    </xf>
    <xf numFmtId="0" fontId="10" fillId="3" borderId="1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165" fontId="6" fillId="3" borderId="0" xfId="3" applyFont="1" applyFill="1"/>
    <xf numFmtId="0" fontId="6" fillId="3" borderId="0" xfId="0" applyFont="1" applyFill="1"/>
    <xf numFmtId="0" fontId="6" fillId="3" borderId="6" xfId="0" applyFont="1" applyFill="1" applyBorder="1" applyAlignment="1">
      <alignment vertical="center"/>
    </xf>
    <xf numFmtId="165" fontId="6" fillId="3" borderId="6" xfId="3" applyFont="1" applyFill="1" applyBorder="1" applyAlignment="1">
      <alignment vertical="center"/>
    </xf>
    <xf numFmtId="165" fontId="6" fillId="3" borderId="7" xfId="3" applyFont="1" applyFill="1" applyBorder="1" applyAlignment="1">
      <alignment vertical="center"/>
    </xf>
    <xf numFmtId="165" fontId="3" fillId="3" borderId="4" xfId="3" applyFont="1" applyFill="1" applyBorder="1" applyAlignment="1">
      <alignment horizontal="center" vertical="center"/>
    </xf>
    <xf numFmtId="0" fontId="8" fillId="3" borderId="0" xfId="1" applyFill="1" applyAlignment="1" applyProtection="1">
      <alignment vertical="center"/>
    </xf>
    <xf numFmtId="165" fontId="1" fillId="3" borderId="2" xfId="3" applyFont="1" applyFill="1" applyBorder="1" applyAlignment="1">
      <alignment horizontal="center" vertical="center"/>
    </xf>
    <xf numFmtId="165" fontId="6" fillId="3" borderId="0" xfId="3" applyFont="1" applyFill="1" applyAlignment="1">
      <alignment horizontal="center" vertical="center"/>
    </xf>
    <xf numFmtId="43" fontId="6" fillId="3" borderId="0" xfId="0" applyNumberFormat="1" applyFont="1" applyFill="1" applyAlignment="1">
      <alignment vertical="center"/>
    </xf>
    <xf numFmtId="0" fontId="3" fillId="3" borderId="52" xfId="0" applyFont="1" applyFill="1" applyBorder="1" applyAlignment="1">
      <alignment vertical="center"/>
    </xf>
    <xf numFmtId="0" fontId="3" fillId="3" borderId="52" xfId="0" applyFont="1" applyFill="1" applyBorder="1" applyAlignment="1">
      <alignment horizontal="center" vertical="center"/>
    </xf>
    <xf numFmtId="165" fontId="3" fillId="3" borderId="52" xfId="3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0" fontId="10" fillId="3" borderId="31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165" fontId="10" fillId="3" borderId="32" xfId="3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3" fontId="6" fillId="3" borderId="0" xfId="0" applyNumberFormat="1" applyFont="1" applyFill="1" applyAlignment="1">
      <alignment vertical="center"/>
    </xf>
    <xf numFmtId="9" fontId="3" fillId="2" borderId="7" xfId="2" applyFont="1" applyFill="1" applyBorder="1" applyAlignment="1">
      <alignment vertical="center"/>
    </xf>
    <xf numFmtId="165" fontId="6" fillId="2" borderId="2" xfId="3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165" fontId="1" fillId="2" borderId="0" xfId="3" applyFont="1" applyFill="1" applyAlignment="1">
      <alignment vertical="center"/>
    </xf>
    <xf numFmtId="165" fontId="6" fillId="2" borderId="1" xfId="3" applyNumberFormat="1" applyFont="1" applyFill="1" applyBorder="1" applyAlignment="1">
      <alignment horizontal="center" vertical="center"/>
    </xf>
    <xf numFmtId="165" fontId="1" fillId="2" borderId="1" xfId="3" applyNumberFormat="1" applyFont="1" applyFill="1" applyBorder="1" applyAlignment="1">
      <alignment horizontal="center" vertical="center"/>
    </xf>
    <xf numFmtId="13" fontId="6" fillId="2" borderId="1" xfId="0" applyNumberFormat="1" applyFont="1" applyFill="1" applyBorder="1" applyAlignment="1">
      <alignment vertical="center"/>
    </xf>
    <xf numFmtId="165" fontId="1" fillId="2" borderId="2" xfId="3" applyFont="1" applyFill="1" applyBorder="1" applyAlignment="1">
      <alignment horizontal="center" vertical="center"/>
    </xf>
    <xf numFmtId="165" fontId="1" fillId="2" borderId="1" xfId="3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vertical="center"/>
    </xf>
    <xf numFmtId="165" fontId="3" fillId="3" borderId="8" xfId="3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165" fontId="1" fillId="0" borderId="0" xfId="3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0" fillId="9" borderId="15" xfId="0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165" fontId="10" fillId="9" borderId="16" xfId="3" applyFont="1" applyFill="1" applyBorder="1" applyAlignment="1">
      <alignment horizontal="center" vertical="center"/>
    </xf>
    <xf numFmtId="165" fontId="10" fillId="9" borderId="17" xfId="3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167" fontId="1" fillId="2" borderId="2" xfId="3" applyNumberFormat="1" applyFont="1" applyFill="1" applyBorder="1" applyAlignment="1">
      <alignment horizontal="center" vertical="center"/>
    </xf>
    <xf numFmtId="165" fontId="1" fillId="0" borderId="2" xfId="3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6" fontId="1" fillId="0" borderId="1" xfId="3" applyNumberFormat="1" applyFont="1" applyBorder="1" applyAlignment="1">
      <alignment horizontal="center" vertical="center"/>
    </xf>
    <xf numFmtId="167" fontId="1" fillId="0" borderId="2" xfId="3" applyNumberFormat="1" applyFont="1" applyBorder="1" applyAlignment="1">
      <alignment horizontal="center" vertical="center"/>
    </xf>
    <xf numFmtId="165" fontId="1" fillId="0" borderId="1" xfId="3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67" fontId="1" fillId="0" borderId="1" xfId="3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6" fontId="3" fillId="0" borderId="1" xfId="3" applyNumberFormat="1" applyFont="1" applyBorder="1" applyAlignment="1">
      <alignment horizontal="center" vertical="center"/>
    </xf>
    <xf numFmtId="167" fontId="3" fillId="0" borderId="1" xfId="3" applyNumberFormat="1" applyFont="1" applyBorder="1" applyAlignment="1">
      <alignment horizontal="center" vertical="center"/>
    </xf>
    <xf numFmtId="165" fontId="3" fillId="9" borderId="4" xfId="3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5" fontId="1" fillId="0" borderId="2" xfId="3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10" fontId="5" fillId="3" borderId="19" xfId="0" applyNumberFormat="1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165" fontId="3" fillId="3" borderId="13" xfId="3" applyFont="1" applyFill="1" applyBorder="1" applyAlignment="1">
      <alignment horizontal="left" vertical="center"/>
    </xf>
    <xf numFmtId="165" fontId="3" fillId="3" borderId="9" xfId="3" applyFont="1" applyFill="1" applyBorder="1" applyAlignment="1">
      <alignment horizontal="left" vertical="center"/>
    </xf>
    <xf numFmtId="0" fontId="14" fillId="3" borderId="24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165" fontId="3" fillId="3" borderId="5" xfId="3" applyFont="1" applyFill="1" applyBorder="1" applyAlignment="1">
      <alignment horizontal="center" vertical="center"/>
    </xf>
    <xf numFmtId="165" fontId="3" fillId="3" borderId="6" xfId="3" applyFont="1" applyFill="1" applyBorder="1" applyAlignment="1">
      <alignment horizontal="center" vertical="center"/>
    </xf>
    <xf numFmtId="165" fontId="3" fillId="3" borderId="39" xfId="3" applyFont="1" applyFill="1" applyBorder="1" applyAlignment="1">
      <alignment horizontal="center" vertical="center"/>
    </xf>
    <xf numFmtId="165" fontId="4" fillId="3" borderId="5" xfId="3" applyFont="1" applyFill="1" applyBorder="1" applyAlignment="1">
      <alignment horizontal="center" vertical="center"/>
    </xf>
    <xf numFmtId="165" fontId="4" fillId="3" borderId="6" xfId="3" applyFont="1" applyFill="1" applyBorder="1" applyAlignment="1">
      <alignment horizontal="center" vertical="center"/>
    </xf>
    <xf numFmtId="165" fontId="4" fillId="3" borderId="7" xfId="3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8" borderId="18" xfId="0" applyFont="1" applyFill="1" applyBorder="1" applyAlignment="1">
      <alignment horizontal="center"/>
    </xf>
    <xf numFmtId="0" fontId="14" fillId="8" borderId="4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9" fontId="7" fillId="0" borderId="20" xfId="2" applyFont="1" applyBorder="1" applyAlignment="1">
      <alignment horizontal="center"/>
    </xf>
    <xf numFmtId="9" fontId="7" fillId="0" borderId="21" xfId="2" applyFont="1" applyBorder="1" applyAlignment="1">
      <alignment horizontal="center"/>
    </xf>
    <xf numFmtId="9" fontId="7" fillId="0" borderId="11" xfId="2" applyFont="1" applyBorder="1" applyAlignment="1">
      <alignment horizontal="center"/>
    </xf>
    <xf numFmtId="0" fontId="4" fillId="8" borderId="24" xfId="0" applyFont="1" applyFill="1" applyBorder="1" applyAlignment="1">
      <alignment horizontal="center" vertical="center"/>
    </xf>
    <xf numFmtId="0" fontId="4" fillId="8" borderId="25" xfId="0" applyFont="1" applyFill="1" applyBorder="1" applyAlignment="1">
      <alignment horizontal="center" vertical="center"/>
    </xf>
    <xf numFmtId="0" fontId="4" fillId="8" borderId="26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</cellXfs>
  <cellStyles count="4">
    <cellStyle name="Hiperlink" xfId="1" builtinId="8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65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65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8582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97"/>
  <sheetViews>
    <sheetView tabSelected="1" view="pageBreakPreview" zoomScaleNormal="100" zoomScaleSheetLayoutView="100" workbookViewId="0">
      <selection activeCell="F151" sqref="F151"/>
    </sheetView>
  </sheetViews>
  <sheetFormatPr defaultRowHeight="12.75" x14ac:dyDescent="0.2"/>
  <cols>
    <col min="1" max="1" width="44.5703125" style="158" customWidth="1"/>
    <col min="2" max="2" width="16" style="158" bestFit="1" customWidth="1"/>
    <col min="3" max="3" width="11.85546875" style="158" customWidth="1"/>
    <col min="4" max="4" width="14.7109375" style="159" customWidth="1"/>
    <col min="5" max="5" width="15.42578125" style="159" customWidth="1"/>
    <col min="6" max="6" width="13.28515625" style="159" customWidth="1"/>
    <col min="7" max="7" width="28.140625" style="159" customWidth="1"/>
    <col min="8" max="8" width="9.140625" style="158"/>
    <col min="9" max="9" width="14.5703125" style="158" customWidth="1"/>
    <col min="10" max="10" width="13.42578125" style="158" customWidth="1"/>
    <col min="11" max="16384" width="9.140625" style="158"/>
  </cols>
  <sheetData>
    <row r="1" spans="1:7" s="124" customFormat="1" ht="16.5" customHeight="1" thickBot="1" x14ac:dyDescent="0.25">
      <c r="A1" s="121"/>
      <c r="B1" s="122"/>
      <c r="C1" s="122"/>
      <c r="D1" s="123"/>
      <c r="E1" s="123"/>
      <c r="F1" s="123"/>
      <c r="G1" s="123"/>
    </row>
    <row r="2" spans="1:7" s="126" customFormat="1" ht="18" x14ac:dyDescent="0.2">
      <c r="A2" s="293" t="s">
        <v>209</v>
      </c>
      <c r="B2" s="294"/>
      <c r="C2" s="294"/>
      <c r="D2" s="294"/>
      <c r="E2" s="294"/>
      <c r="F2" s="295"/>
      <c r="G2" s="125"/>
    </row>
    <row r="3" spans="1:7" s="126" customFormat="1" ht="21.75" customHeight="1" x14ac:dyDescent="0.2">
      <c r="A3" s="296" t="s">
        <v>26</v>
      </c>
      <c r="B3" s="297"/>
      <c r="C3" s="297"/>
      <c r="D3" s="297"/>
      <c r="E3" s="297"/>
      <c r="F3" s="298"/>
      <c r="G3" s="125"/>
    </row>
    <row r="4" spans="1:7" s="124" customFormat="1" ht="10.9" customHeight="1" thickBot="1" x14ac:dyDescent="0.25">
      <c r="A4" s="127"/>
      <c r="B4" s="128"/>
      <c r="C4" s="128"/>
      <c r="D4" s="129"/>
      <c r="E4" s="129"/>
      <c r="F4" s="130"/>
      <c r="G4" s="123"/>
    </row>
    <row r="5" spans="1:7" s="124" customFormat="1" ht="15.75" customHeight="1" thickBot="1" x14ac:dyDescent="0.25">
      <c r="A5" s="302" t="s">
        <v>154</v>
      </c>
      <c r="B5" s="303"/>
      <c r="C5" s="303"/>
      <c r="D5" s="303"/>
      <c r="E5" s="303"/>
      <c r="F5" s="304"/>
      <c r="G5" s="123"/>
    </row>
    <row r="6" spans="1:7" s="124" customFormat="1" ht="15.75" customHeight="1" x14ac:dyDescent="0.2">
      <c r="A6" s="131" t="s">
        <v>153</v>
      </c>
      <c r="B6" s="132"/>
      <c r="C6" s="132"/>
      <c r="D6" s="133"/>
      <c r="E6" s="134" t="s">
        <v>21</v>
      </c>
      <c r="F6" s="135" t="s">
        <v>1</v>
      </c>
      <c r="G6" s="123"/>
    </row>
    <row r="7" spans="1:7" s="142" customFormat="1" ht="15.75" customHeight="1" x14ac:dyDescent="0.2">
      <c r="A7" s="136" t="str">
        <f>A34</f>
        <v>1. Mão-de-obra</v>
      </c>
      <c r="B7" s="137"/>
      <c r="C7" s="138"/>
      <c r="D7" s="138"/>
      <c r="E7" s="139">
        <f>F78</f>
        <v>0</v>
      </c>
      <c r="F7" s="140">
        <f t="shared" ref="F7:F18" si="0">IFERROR(E7/$E$19,0)</f>
        <v>0</v>
      </c>
      <c r="G7" s="141"/>
    </row>
    <row r="8" spans="1:7" s="124" customFormat="1" ht="15.75" customHeight="1" x14ac:dyDescent="0.2">
      <c r="A8" s="143" t="str">
        <f>A36</f>
        <v>1.1. Coletor de lixo domiciliar (CBO 5142)</v>
      </c>
      <c r="B8" s="144"/>
      <c r="C8" s="145"/>
      <c r="D8" s="145"/>
      <c r="E8" s="146">
        <f>F44</f>
        <v>0</v>
      </c>
      <c r="F8" s="147">
        <f t="shared" si="0"/>
        <v>0</v>
      </c>
      <c r="G8" s="123"/>
    </row>
    <row r="9" spans="1:7" s="124" customFormat="1" ht="15.75" customHeight="1" x14ac:dyDescent="0.2">
      <c r="A9" s="143" t="str">
        <f>A46</f>
        <v>1.2. Motorista Turno Dia</v>
      </c>
      <c r="B9" s="144"/>
      <c r="C9" s="145"/>
      <c r="D9" s="145"/>
      <c r="E9" s="146">
        <f>F56</f>
        <v>0</v>
      </c>
      <c r="F9" s="147">
        <f t="shared" si="0"/>
        <v>0</v>
      </c>
      <c r="G9" s="123"/>
    </row>
    <row r="10" spans="1:7" s="124" customFormat="1" ht="15.75" customHeight="1" x14ac:dyDescent="0.2">
      <c r="A10" s="143" t="str">
        <f>A58</f>
        <v>1.3. Vale Transporte</v>
      </c>
      <c r="B10" s="144"/>
      <c r="C10" s="145"/>
      <c r="D10" s="145"/>
      <c r="E10" s="146">
        <f>F64</f>
        <v>0</v>
      </c>
      <c r="F10" s="147">
        <f t="shared" si="0"/>
        <v>0</v>
      </c>
      <c r="G10" s="123"/>
    </row>
    <row r="11" spans="1:7" s="124" customFormat="1" ht="15.75" customHeight="1" x14ac:dyDescent="0.2">
      <c r="A11" s="143" t="str">
        <f>A66</f>
        <v>1.4. Vale-refeição (diário)</v>
      </c>
      <c r="B11" s="144"/>
      <c r="C11" s="145"/>
      <c r="D11" s="145"/>
      <c r="E11" s="146">
        <f>F70</f>
        <v>0</v>
      </c>
      <c r="F11" s="147">
        <f t="shared" si="0"/>
        <v>0</v>
      </c>
      <c r="G11" s="123"/>
    </row>
    <row r="12" spans="1:7" s="124" customFormat="1" ht="15.75" customHeight="1" x14ac:dyDescent="0.2">
      <c r="A12" s="143" t="str">
        <f>A72</f>
        <v>1.5. Auxílio Alimentação (mensal)</v>
      </c>
      <c r="B12" s="144"/>
      <c r="C12" s="145"/>
      <c r="D12" s="145"/>
      <c r="E12" s="146">
        <f>F76</f>
        <v>0</v>
      </c>
      <c r="F12" s="147">
        <f t="shared" si="0"/>
        <v>0</v>
      </c>
      <c r="G12" s="123"/>
    </row>
    <row r="13" spans="1:7" s="142" customFormat="1" ht="15.75" customHeight="1" x14ac:dyDescent="0.2">
      <c r="A13" s="291" t="str">
        <f>A80</f>
        <v>2. Uniformes e Equipamentos de Proteção Individual</v>
      </c>
      <c r="B13" s="292"/>
      <c r="C13" s="292"/>
      <c r="D13" s="138"/>
      <c r="E13" s="139">
        <f>+F116</f>
        <v>0</v>
      </c>
      <c r="F13" s="140">
        <f t="shared" si="0"/>
        <v>0</v>
      </c>
      <c r="G13" s="141"/>
    </row>
    <row r="14" spans="1:7" s="142" customFormat="1" ht="15.75" customHeight="1" x14ac:dyDescent="0.2">
      <c r="A14" s="148" t="str">
        <f>A118</f>
        <v>3. Veículos e Equipamentos</v>
      </c>
      <c r="B14" s="149"/>
      <c r="C14" s="138"/>
      <c r="D14" s="138"/>
      <c r="E14" s="139">
        <f>+F184</f>
        <v>0</v>
      </c>
      <c r="F14" s="140">
        <f t="shared" si="0"/>
        <v>0</v>
      </c>
      <c r="G14" s="141"/>
    </row>
    <row r="15" spans="1:7" s="124" customFormat="1" ht="15.75" customHeight="1" x14ac:dyDescent="0.2">
      <c r="A15" s="150" t="str">
        <f>A120</f>
        <v>3.1. Caminhão Baú</v>
      </c>
      <c r="B15" s="151"/>
      <c r="C15" s="145"/>
      <c r="D15" s="145"/>
      <c r="E15" s="146">
        <f>SUM(E16:E17)</f>
        <v>0</v>
      </c>
      <c r="F15" s="152">
        <f t="shared" si="0"/>
        <v>0</v>
      </c>
      <c r="G15" s="123"/>
    </row>
    <row r="16" spans="1:7" s="124" customFormat="1" ht="15.75" customHeight="1" x14ac:dyDescent="0.2">
      <c r="A16" s="150" t="str">
        <f>A122</f>
        <v>3.1.1. Depreciação</v>
      </c>
      <c r="B16" s="151"/>
      <c r="C16" s="145"/>
      <c r="D16" s="145"/>
      <c r="E16" s="146">
        <f>F130</f>
        <v>0</v>
      </c>
      <c r="F16" s="152">
        <f t="shared" si="0"/>
        <v>0</v>
      </c>
      <c r="G16" s="123"/>
    </row>
    <row r="17" spans="1:7" s="124" customFormat="1" ht="15.75" customHeight="1" x14ac:dyDescent="0.2">
      <c r="A17" s="150" t="str">
        <f>A132</f>
        <v>3.1.2. Remuneração do Capital</v>
      </c>
      <c r="B17" s="151"/>
      <c r="C17" s="145"/>
      <c r="D17" s="145"/>
      <c r="E17" s="146">
        <f>F140</f>
        <v>0</v>
      </c>
      <c r="F17" s="152">
        <f t="shared" si="0"/>
        <v>0</v>
      </c>
      <c r="G17" s="123"/>
    </row>
    <row r="18" spans="1:7" s="142" customFormat="1" ht="15.75" customHeight="1" x14ac:dyDescent="0.2">
      <c r="A18" s="153" t="str">
        <f>A190</f>
        <v>4. Benefícios e Despesas Indiretas - BDI</v>
      </c>
      <c r="B18" s="149"/>
      <c r="C18" s="138"/>
      <c r="D18" s="138"/>
      <c r="E18" s="154">
        <f>F194</f>
        <v>0</v>
      </c>
      <c r="F18" s="140">
        <f t="shared" si="0"/>
        <v>0</v>
      </c>
      <c r="G18" s="141"/>
    </row>
    <row r="19" spans="1:7" s="124" customFormat="1" ht="15.75" customHeight="1" thickBot="1" x14ac:dyDescent="0.25">
      <c r="A19" s="258" t="s">
        <v>203</v>
      </c>
      <c r="B19" s="155"/>
      <c r="C19" s="156"/>
      <c r="D19" s="156"/>
      <c r="E19" s="257">
        <f>E7+E13+E14+E18</f>
        <v>0</v>
      </c>
      <c r="F19" s="157">
        <f>F7+F13+F14+F18</f>
        <v>0</v>
      </c>
      <c r="G19" s="123"/>
    </row>
    <row r="21" spans="1:7" ht="13.5" thickBot="1" x14ac:dyDescent="0.25"/>
    <row r="22" spans="1:7" s="124" customFormat="1" ht="15" customHeight="1" thickBot="1" x14ac:dyDescent="0.25">
      <c r="A22" s="302" t="s">
        <v>62</v>
      </c>
      <c r="B22" s="303"/>
      <c r="C22" s="303"/>
      <c r="D22" s="303"/>
      <c r="E22" s="304"/>
      <c r="F22" s="159"/>
      <c r="G22" s="123"/>
    </row>
    <row r="23" spans="1:7" s="124" customFormat="1" ht="15" customHeight="1" thickBot="1" x14ac:dyDescent="0.25">
      <c r="A23" s="299" t="s">
        <v>22</v>
      </c>
      <c r="B23" s="300"/>
      <c r="C23" s="300"/>
      <c r="D23" s="301"/>
      <c r="E23" s="160" t="s">
        <v>23</v>
      </c>
      <c r="F23" s="159"/>
      <c r="G23" s="123"/>
    </row>
    <row r="24" spans="1:7" s="124" customFormat="1" ht="15" customHeight="1" x14ac:dyDescent="0.2">
      <c r="A24" s="161" t="str">
        <f>+A36</f>
        <v>1.1. Coletor de lixo domiciliar (CBO 5142)</v>
      </c>
      <c r="B24" s="162"/>
      <c r="C24" s="162"/>
      <c r="D24" s="163"/>
      <c r="E24" s="164">
        <f>C43</f>
        <v>0</v>
      </c>
      <c r="F24" s="159"/>
      <c r="G24" s="123"/>
    </row>
    <row r="25" spans="1:7" s="124" customFormat="1" ht="15" customHeight="1" x14ac:dyDescent="0.2">
      <c r="A25" s="165" t="str">
        <f>+A46</f>
        <v>1.2. Motorista Turno Dia</v>
      </c>
      <c r="B25" s="166"/>
      <c r="C25" s="166"/>
      <c r="D25" s="167"/>
      <c r="E25" s="168">
        <f>C55</f>
        <v>0</v>
      </c>
      <c r="F25" s="159"/>
      <c r="G25" s="123"/>
    </row>
    <row r="26" spans="1:7" s="124" customFormat="1" ht="15" customHeight="1" thickBot="1" x14ac:dyDescent="0.25">
      <c r="A26" s="169" t="s">
        <v>38</v>
      </c>
      <c r="B26" s="170"/>
      <c r="C26" s="170"/>
      <c r="D26" s="171"/>
      <c r="E26" s="172">
        <f>SUM(E24:E25)</f>
        <v>0</v>
      </c>
      <c r="F26" s="159"/>
      <c r="G26" s="123"/>
    </row>
    <row r="27" spans="1:7" s="124" customFormat="1" ht="15" customHeight="1" thickBot="1" x14ac:dyDescent="0.25">
      <c r="A27" s="173"/>
      <c r="B27" s="174"/>
      <c r="C27" s="119"/>
      <c r="D27" s="119"/>
      <c r="E27" s="175"/>
      <c r="F27" s="159"/>
      <c r="G27" s="123"/>
    </row>
    <row r="28" spans="1:7" s="124" customFormat="1" ht="15" customHeight="1" x14ac:dyDescent="0.2">
      <c r="A28" s="289" t="s">
        <v>37</v>
      </c>
      <c r="B28" s="290"/>
      <c r="C28" s="290"/>
      <c r="D28" s="290"/>
      <c r="E28" s="160" t="s">
        <v>23</v>
      </c>
      <c r="F28" s="158"/>
      <c r="G28" s="123"/>
    </row>
    <row r="29" spans="1:7" s="124" customFormat="1" ht="15" customHeight="1" x14ac:dyDescent="0.2">
      <c r="A29" s="179" t="str">
        <f>A120</f>
        <v>3.1. Caminhão Baú</v>
      </c>
      <c r="B29" s="176"/>
      <c r="C29" s="176"/>
      <c r="D29" s="177"/>
      <c r="E29" s="178">
        <v>1</v>
      </c>
      <c r="F29" s="158"/>
      <c r="G29" s="123"/>
    </row>
    <row r="30" spans="1:7" s="124" customFormat="1" ht="15" customHeight="1" x14ac:dyDescent="0.2">
      <c r="A30" s="180" t="s">
        <v>202</v>
      </c>
      <c r="B30" s="180"/>
      <c r="C30" s="180"/>
      <c r="D30" s="181"/>
      <c r="E30" s="182">
        <f>SUM(E29)</f>
        <v>1</v>
      </c>
      <c r="F30" s="158"/>
      <c r="G30" s="123"/>
    </row>
    <row r="31" spans="1:7" s="124" customFormat="1" ht="13.5" thickBot="1" x14ac:dyDescent="0.25">
      <c r="A31" s="119"/>
      <c r="B31" s="119"/>
      <c r="C31" s="119"/>
      <c r="D31" s="183"/>
      <c r="E31" s="184"/>
      <c r="F31" s="158"/>
      <c r="G31" s="123"/>
    </row>
    <row r="32" spans="1:7" s="142" customFormat="1" ht="15.75" customHeight="1" thickBot="1" x14ac:dyDescent="0.25">
      <c r="A32" s="185" t="s">
        <v>149</v>
      </c>
      <c r="B32" s="246"/>
      <c r="C32" s="118"/>
      <c r="D32" s="186"/>
      <c r="E32" s="187"/>
      <c r="G32" s="141"/>
    </row>
    <row r="33" spans="1:7" s="124" customFormat="1" ht="15.75" customHeight="1" x14ac:dyDescent="0.2">
      <c r="A33" s="119"/>
      <c r="B33" s="119"/>
      <c r="C33" s="119"/>
      <c r="D33" s="183"/>
      <c r="E33" s="184"/>
      <c r="F33" s="158"/>
      <c r="G33" s="123"/>
    </row>
    <row r="34" spans="1:7" ht="13.15" customHeight="1" x14ac:dyDescent="0.2">
      <c r="A34" s="142" t="s">
        <v>29</v>
      </c>
    </row>
    <row r="35" spans="1:7" ht="11.25" customHeight="1" x14ac:dyDescent="0.2"/>
    <row r="36" spans="1:7" ht="13.9" customHeight="1" thickBot="1" x14ac:dyDescent="0.25">
      <c r="A36" s="121" t="s">
        <v>235</v>
      </c>
    </row>
    <row r="37" spans="1:7" ht="13.9" customHeight="1" thickBot="1" x14ac:dyDescent="0.25">
      <c r="A37" s="188" t="s">
        <v>41</v>
      </c>
      <c r="B37" s="189" t="s">
        <v>42</v>
      </c>
      <c r="C37" s="189" t="s">
        <v>23</v>
      </c>
      <c r="D37" s="190" t="s">
        <v>177</v>
      </c>
      <c r="E37" s="190" t="s">
        <v>43</v>
      </c>
      <c r="F37" s="191" t="s">
        <v>44</v>
      </c>
    </row>
    <row r="38" spans="1:7" ht="13.15" customHeight="1" x14ac:dyDescent="0.2">
      <c r="A38" s="192" t="s">
        <v>160</v>
      </c>
      <c r="B38" s="193" t="s">
        <v>6</v>
      </c>
      <c r="C38" s="193">
        <v>1</v>
      </c>
      <c r="D38" s="247"/>
      <c r="E38" s="194">
        <f>C38*D38</f>
        <v>0</v>
      </c>
    </row>
    <row r="39" spans="1:7" x14ac:dyDescent="0.2">
      <c r="A39" s="177" t="s">
        <v>0</v>
      </c>
      <c r="B39" s="195" t="s">
        <v>1</v>
      </c>
      <c r="C39" s="248"/>
      <c r="D39" s="196">
        <f>SUM(E38:E38)</f>
        <v>0</v>
      </c>
      <c r="E39" s="196">
        <f>C39*D39/100</f>
        <v>0</v>
      </c>
    </row>
    <row r="40" spans="1:7" x14ac:dyDescent="0.2">
      <c r="A40" s="197" t="s">
        <v>2</v>
      </c>
      <c r="B40" s="198"/>
      <c r="C40" s="198"/>
      <c r="D40" s="199"/>
      <c r="E40" s="200">
        <f>SUM(E38:E39)</f>
        <v>0</v>
      </c>
    </row>
    <row r="41" spans="1:7" x14ac:dyDescent="0.2">
      <c r="A41" s="177" t="s">
        <v>3</v>
      </c>
      <c r="B41" s="195" t="s">
        <v>1</v>
      </c>
      <c r="C41" s="196">
        <f>'2.Encargos Sociais'!$C$34*100</f>
        <v>72.23</v>
      </c>
      <c r="D41" s="196">
        <f>E40</f>
        <v>0</v>
      </c>
      <c r="E41" s="196">
        <f>D41*C41/100</f>
        <v>0</v>
      </c>
    </row>
    <row r="42" spans="1:7" x14ac:dyDescent="0.2">
      <c r="A42" s="197" t="s">
        <v>46</v>
      </c>
      <c r="B42" s="198"/>
      <c r="C42" s="198"/>
      <c r="D42" s="199"/>
      <c r="E42" s="200">
        <f>E40+E41</f>
        <v>0</v>
      </c>
    </row>
    <row r="43" spans="1:7" ht="13.5" thickBot="1" x14ac:dyDescent="0.25">
      <c r="A43" s="177" t="s">
        <v>4</v>
      </c>
      <c r="B43" s="195" t="s">
        <v>5</v>
      </c>
      <c r="C43" s="248"/>
      <c r="D43" s="196">
        <f>E42</f>
        <v>0</v>
      </c>
      <c r="E43" s="196">
        <f>C43*D43</f>
        <v>0</v>
      </c>
      <c r="G43" s="123"/>
    </row>
    <row r="44" spans="1:7" ht="13.9" customHeight="1" thickBot="1" x14ac:dyDescent="0.25">
      <c r="D44" s="201" t="s">
        <v>148</v>
      </c>
      <c r="E44" s="176">
        <f>$B$32</f>
        <v>0</v>
      </c>
      <c r="F44" s="202">
        <f>E43*E44</f>
        <v>0</v>
      </c>
      <c r="G44" s="123"/>
    </row>
    <row r="45" spans="1:7" ht="11.25" customHeight="1" x14ac:dyDescent="0.2"/>
    <row r="46" spans="1:7" ht="13.5" thickBot="1" x14ac:dyDescent="0.25">
      <c r="A46" s="121" t="s">
        <v>210</v>
      </c>
    </row>
    <row r="47" spans="1:7" ht="13.5" thickBot="1" x14ac:dyDescent="0.25">
      <c r="A47" s="188" t="s">
        <v>41</v>
      </c>
      <c r="B47" s="189" t="s">
        <v>42</v>
      </c>
      <c r="C47" s="189" t="s">
        <v>23</v>
      </c>
      <c r="D47" s="190" t="s">
        <v>177</v>
      </c>
      <c r="E47" s="190" t="s">
        <v>43</v>
      </c>
      <c r="F47" s="191" t="s">
        <v>44</v>
      </c>
    </row>
    <row r="48" spans="1:7" x14ac:dyDescent="0.2">
      <c r="A48" s="192" t="s">
        <v>162</v>
      </c>
      <c r="B48" s="193" t="s">
        <v>6</v>
      </c>
      <c r="C48" s="193">
        <v>1</v>
      </c>
      <c r="D48" s="247"/>
      <c r="E48" s="194">
        <f>C48*D48</f>
        <v>0</v>
      </c>
    </row>
    <row r="49" spans="1:7" x14ac:dyDescent="0.2">
      <c r="A49" s="192" t="s">
        <v>163</v>
      </c>
      <c r="B49" s="193" t="s">
        <v>6</v>
      </c>
      <c r="C49" s="193">
        <v>1</v>
      </c>
      <c r="D49" s="247"/>
      <c r="E49" s="194"/>
    </row>
    <row r="50" spans="1:7" ht="13.15" customHeight="1" x14ac:dyDescent="0.2">
      <c r="A50" s="177" t="s">
        <v>161</v>
      </c>
      <c r="B50" s="195"/>
      <c r="C50" s="249"/>
      <c r="D50" s="196"/>
      <c r="E50" s="196"/>
    </row>
    <row r="51" spans="1:7" x14ac:dyDescent="0.2">
      <c r="A51" s="177" t="s">
        <v>0</v>
      </c>
      <c r="B51" s="195" t="s">
        <v>1</v>
      </c>
      <c r="C51" s="248"/>
      <c r="D51" s="196">
        <f>IF(C50=1,SUM(E48:E49),IF(C50=2,(SUM(E48:E49))*D49/D48,0))</f>
        <v>0</v>
      </c>
      <c r="E51" s="196">
        <f>C51*D51/100</f>
        <v>0</v>
      </c>
    </row>
    <row r="52" spans="1:7" x14ac:dyDescent="0.2">
      <c r="A52" s="181" t="s">
        <v>2</v>
      </c>
      <c r="B52" s="198"/>
      <c r="C52" s="198"/>
      <c r="D52" s="199"/>
      <c r="E52" s="204">
        <f>SUM(E48:E51)</f>
        <v>0</v>
      </c>
      <c r="F52" s="141"/>
    </row>
    <row r="53" spans="1:7" x14ac:dyDescent="0.2">
      <c r="A53" s="177" t="s">
        <v>3</v>
      </c>
      <c r="B53" s="195" t="s">
        <v>1</v>
      </c>
      <c r="C53" s="196">
        <f>'2.Encargos Sociais'!$C$34*100</f>
        <v>72.23</v>
      </c>
      <c r="D53" s="196">
        <f>E52</f>
        <v>0</v>
      </c>
      <c r="E53" s="196">
        <f>D53*C53/100</f>
        <v>0</v>
      </c>
    </row>
    <row r="54" spans="1:7" x14ac:dyDescent="0.2">
      <c r="A54" s="181" t="s">
        <v>211</v>
      </c>
      <c r="B54" s="205"/>
      <c r="C54" s="205"/>
      <c r="D54" s="206"/>
      <c r="E54" s="204">
        <f>E52+E53</f>
        <v>0</v>
      </c>
      <c r="F54" s="141"/>
    </row>
    <row r="55" spans="1:7" ht="13.5" thickBot="1" x14ac:dyDescent="0.25">
      <c r="A55" s="177" t="s">
        <v>4</v>
      </c>
      <c r="B55" s="195" t="s">
        <v>5</v>
      </c>
      <c r="C55" s="248"/>
      <c r="D55" s="196">
        <f>E54</f>
        <v>0</v>
      </c>
      <c r="E55" s="196">
        <f>C55*D55</f>
        <v>0</v>
      </c>
    </row>
    <row r="56" spans="1:7" ht="13.5" thickBot="1" x14ac:dyDescent="0.25">
      <c r="D56" s="201" t="s">
        <v>148</v>
      </c>
      <c r="E56" s="176">
        <f>$B$32</f>
        <v>0</v>
      </c>
      <c r="F56" s="202">
        <f>E55*E56</f>
        <v>0</v>
      </c>
    </row>
    <row r="57" spans="1:7" ht="11.25" customHeight="1" x14ac:dyDescent="0.2"/>
    <row r="58" spans="1:7" ht="13.5" thickBot="1" x14ac:dyDescent="0.25">
      <c r="A58" s="121" t="s">
        <v>236</v>
      </c>
      <c r="B58" s="207"/>
      <c r="C58" s="121"/>
      <c r="D58" s="121"/>
      <c r="E58" s="121"/>
      <c r="F58" s="208"/>
    </row>
    <row r="59" spans="1:7" ht="13.5" thickBot="1" x14ac:dyDescent="0.25">
      <c r="A59" s="188" t="s">
        <v>41</v>
      </c>
      <c r="B59" s="189" t="s">
        <v>42</v>
      </c>
      <c r="C59" s="189" t="s">
        <v>23</v>
      </c>
      <c r="D59" s="190" t="s">
        <v>177</v>
      </c>
      <c r="E59" s="190" t="s">
        <v>43</v>
      </c>
      <c r="F59" s="191" t="s">
        <v>44</v>
      </c>
    </row>
    <row r="60" spans="1:7" x14ac:dyDescent="0.2">
      <c r="A60" s="209" t="s">
        <v>193</v>
      </c>
      <c r="B60" s="210" t="s">
        <v>19</v>
      </c>
      <c r="C60" s="211">
        <v>1</v>
      </c>
      <c r="D60" s="251"/>
      <c r="E60" s="212"/>
      <c r="F60" s="208"/>
    </row>
    <row r="61" spans="1:7" x14ac:dyDescent="0.2">
      <c r="A61" s="209" t="s">
        <v>194</v>
      </c>
      <c r="B61" s="210" t="s">
        <v>59</v>
      </c>
      <c r="C61" s="250"/>
      <c r="D61" s="212"/>
      <c r="E61" s="212"/>
      <c r="F61" s="208"/>
    </row>
    <row r="62" spans="1:7" x14ac:dyDescent="0.2">
      <c r="A62" s="209" t="str">
        <f>A36</f>
        <v>1.1. Coletor de lixo domiciliar (CBO 5142)</v>
      </c>
      <c r="B62" s="210" t="s">
        <v>195</v>
      </c>
      <c r="C62" s="213">
        <f>$C$61*2*(C43)</f>
        <v>0</v>
      </c>
      <c r="D62" s="214" t="e">
        <f>((($C$61*2*$D$60)-(E40*0.06))/($C$61*2))</f>
        <v>#DIV/0!</v>
      </c>
      <c r="E62" s="212" t="str">
        <f>IFERROR(C62*D62,"-")</f>
        <v>-</v>
      </c>
      <c r="F62" s="208"/>
    </row>
    <row r="63" spans="1:7" x14ac:dyDescent="0.2">
      <c r="A63" s="215" t="str">
        <f>A69</f>
        <v>1.2. Motorista Turno Dia</v>
      </c>
      <c r="B63" s="210" t="s">
        <v>195</v>
      </c>
      <c r="C63" s="213">
        <f>$C$61*2*(C55)</f>
        <v>0</v>
      </c>
      <c r="D63" s="214" t="e">
        <f>((($C$61*2*$D$60)-(E52*0.06))/($C$61*2))</f>
        <v>#DIV/0!</v>
      </c>
      <c r="E63" s="212" t="str">
        <f t="shared" ref="E63" si="1">IFERROR(C63*D63,"-")</f>
        <v>-</v>
      </c>
      <c r="F63" s="208"/>
    </row>
    <row r="64" spans="1:7" x14ac:dyDescent="0.2">
      <c r="A64" s="121"/>
      <c r="B64" s="121"/>
      <c r="C64" s="121"/>
      <c r="D64" s="208"/>
      <c r="E64" s="208"/>
      <c r="F64" s="180">
        <f>SUM(E62:E63)</f>
        <v>0</v>
      </c>
      <c r="G64" s="158"/>
    </row>
    <row r="65" spans="1:7" x14ac:dyDescent="0.2">
      <c r="A65" s="121"/>
      <c r="B65" s="121"/>
      <c r="C65" s="121"/>
      <c r="D65" s="208"/>
      <c r="E65" s="208"/>
      <c r="F65" s="118"/>
      <c r="G65" s="158"/>
    </row>
    <row r="66" spans="1:7" ht="13.5" thickBot="1" x14ac:dyDescent="0.25">
      <c r="A66" s="121" t="s">
        <v>237</v>
      </c>
      <c r="B66" s="121"/>
      <c r="C66" s="121"/>
      <c r="D66" s="208"/>
      <c r="E66" s="208"/>
      <c r="F66" s="120"/>
      <c r="G66" s="158"/>
    </row>
    <row r="67" spans="1:7" ht="13.5" thickBot="1" x14ac:dyDescent="0.25">
      <c r="A67" s="188" t="s">
        <v>41</v>
      </c>
      <c r="B67" s="189" t="s">
        <v>42</v>
      </c>
      <c r="C67" s="189" t="s">
        <v>23</v>
      </c>
      <c r="D67" s="190" t="s">
        <v>177</v>
      </c>
      <c r="E67" s="190" t="s">
        <v>43</v>
      </c>
      <c r="F67" s="216" t="s">
        <v>44</v>
      </c>
      <c r="G67" s="158"/>
    </row>
    <row r="68" spans="1:7" x14ac:dyDescent="0.2">
      <c r="A68" s="177" t="str">
        <f>A36</f>
        <v>1.1. Coletor de lixo domiciliar (CBO 5142)</v>
      </c>
      <c r="B68" s="195" t="s">
        <v>7</v>
      </c>
      <c r="C68" s="217">
        <f>E24*$C$61</f>
        <v>0</v>
      </c>
      <c r="D68" s="252"/>
      <c r="E68" s="176">
        <f>(C68*D68)-((C68*D68)*0.18)</f>
        <v>0</v>
      </c>
      <c r="F68" s="118"/>
      <c r="G68" s="158"/>
    </row>
    <row r="69" spans="1:7" ht="13.5" thickBot="1" x14ac:dyDescent="0.25">
      <c r="A69" s="177" t="str">
        <f>A46</f>
        <v>1.2. Motorista Turno Dia</v>
      </c>
      <c r="B69" s="195" t="s">
        <v>7</v>
      </c>
      <c r="C69" s="217">
        <f>E25*$C$61</f>
        <v>0</v>
      </c>
      <c r="D69" s="252"/>
      <c r="E69" s="176">
        <f t="shared" ref="E69" si="2">C69*D69</f>
        <v>0</v>
      </c>
      <c r="F69" s="118"/>
      <c r="G69" s="158"/>
    </row>
    <row r="70" spans="1:7" ht="13.5" thickBot="1" x14ac:dyDescent="0.25">
      <c r="F70" s="218">
        <f>SUM(E68:E69)</f>
        <v>0</v>
      </c>
      <c r="G70" s="158"/>
    </row>
    <row r="71" spans="1:7" x14ac:dyDescent="0.2">
      <c r="G71" s="158"/>
    </row>
    <row r="72" spans="1:7" ht="13.5" thickBot="1" x14ac:dyDescent="0.25">
      <c r="A72" s="121" t="s">
        <v>238</v>
      </c>
      <c r="F72" s="118"/>
      <c r="G72" s="158"/>
    </row>
    <row r="73" spans="1:7" ht="13.5" thickBot="1" x14ac:dyDescent="0.25">
      <c r="A73" s="188" t="s">
        <v>41</v>
      </c>
      <c r="B73" s="189" t="s">
        <v>42</v>
      </c>
      <c r="C73" s="189" t="s">
        <v>23</v>
      </c>
      <c r="D73" s="190" t="s">
        <v>177</v>
      </c>
      <c r="E73" s="190" t="s">
        <v>43</v>
      </c>
      <c r="F73" s="191" t="s">
        <v>44</v>
      </c>
      <c r="G73" s="158"/>
    </row>
    <row r="74" spans="1:7" x14ac:dyDescent="0.2">
      <c r="A74" s="177" t="str">
        <f>+A68</f>
        <v>1.1. Coletor de lixo domiciliar (CBO 5142)</v>
      </c>
      <c r="B74" s="195" t="s">
        <v>7</v>
      </c>
      <c r="C74" s="217">
        <f>E24</f>
        <v>0</v>
      </c>
      <c r="D74" s="253"/>
      <c r="E74" s="212" t="s">
        <v>196</v>
      </c>
      <c r="F74" s="118"/>
      <c r="G74" s="158"/>
    </row>
    <row r="75" spans="1:7" ht="13.5" thickBot="1" x14ac:dyDescent="0.25">
      <c r="A75" s="177" t="str">
        <f>+A69</f>
        <v>1.2. Motorista Turno Dia</v>
      </c>
      <c r="B75" s="195" t="s">
        <v>7</v>
      </c>
      <c r="C75" s="217">
        <f>E25</f>
        <v>0</v>
      </c>
      <c r="D75" s="253"/>
      <c r="E75" s="176">
        <f t="shared" ref="E75" si="3">C75*D75</f>
        <v>0</v>
      </c>
      <c r="F75" s="118"/>
      <c r="G75" s="158"/>
    </row>
    <row r="76" spans="1:7" ht="13.5" thickBot="1" x14ac:dyDescent="0.25">
      <c r="D76" s="201" t="s">
        <v>148</v>
      </c>
      <c r="E76" s="176">
        <f>$B$32</f>
        <v>0</v>
      </c>
      <c r="F76" s="218">
        <f>SUM(E74:E75)*E76</f>
        <v>0</v>
      </c>
      <c r="G76" s="158"/>
    </row>
    <row r="77" spans="1:7" ht="13.5" thickBot="1" x14ac:dyDescent="0.25">
      <c r="G77" s="158"/>
    </row>
    <row r="78" spans="1:7" ht="13.5" thickBot="1" x14ac:dyDescent="0.25">
      <c r="A78" s="219" t="s">
        <v>60</v>
      </c>
      <c r="B78" s="220"/>
      <c r="C78" s="220"/>
      <c r="D78" s="221"/>
      <c r="E78" s="222"/>
      <c r="F78" s="218">
        <f>F76+F70+F64+F56+F44</f>
        <v>0</v>
      </c>
      <c r="G78" s="158"/>
    </row>
    <row r="80" spans="1:7" x14ac:dyDescent="0.2">
      <c r="A80" s="142" t="s">
        <v>27</v>
      </c>
      <c r="G80" s="158"/>
    </row>
    <row r="81" spans="1:7" ht="11.25" customHeight="1" x14ac:dyDescent="0.2">
      <c r="G81" s="158"/>
    </row>
    <row r="82" spans="1:7" ht="13.9" customHeight="1" x14ac:dyDescent="0.2">
      <c r="A82" s="121" t="s">
        <v>200</v>
      </c>
      <c r="G82" s="158"/>
    </row>
    <row r="83" spans="1:7" ht="11.25" customHeight="1" thickBot="1" x14ac:dyDescent="0.25">
      <c r="G83" s="158"/>
    </row>
    <row r="84" spans="1:7" ht="27.75" customHeight="1" thickBot="1" x14ac:dyDescent="0.25">
      <c r="A84" s="188" t="s">
        <v>41</v>
      </c>
      <c r="B84" s="189" t="s">
        <v>42</v>
      </c>
      <c r="C84" s="223" t="s">
        <v>185</v>
      </c>
      <c r="D84" s="190" t="s">
        <v>177</v>
      </c>
      <c r="E84" s="190" t="s">
        <v>43</v>
      </c>
      <c r="F84" s="191" t="s">
        <v>44</v>
      </c>
      <c r="G84" s="158"/>
    </row>
    <row r="85" spans="1:7" x14ac:dyDescent="0.2">
      <c r="A85" s="192" t="s">
        <v>45</v>
      </c>
      <c r="B85" s="193" t="s">
        <v>7</v>
      </c>
      <c r="C85" s="254"/>
      <c r="D85" s="247"/>
      <c r="E85" s="194">
        <f>IFERROR(D85/C85,0)</f>
        <v>0</v>
      </c>
      <c r="G85" s="158"/>
    </row>
    <row r="86" spans="1:7" ht="13.15" customHeight="1" x14ac:dyDescent="0.2">
      <c r="A86" s="177" t="s">
        <v>16</v>
      </c>
      <c r="B86" s="195" t="s">
        <v>7</v>
      </c>
      <c r="C86" s="254"/>
      <c r="D86" s="247"/>
      <c r="E86" s="194">
        <f t="shared" ref="E86:E96" si="4">IFERROR(D86/C86,0)</f>
        <v>0</v>
      </c>
      <c r="G86" s="158"/>
    </row>
    <row r="87" spans="1:7" ht="13.15" customHeight="1" x14ac:dyDescent="0.2">
      <c r="A87" s="209" t="s">
        <v>204</v>
      </c>
      <c r="B87" s="195" t="s">
        <v>7</v>
      </c>
      <c r="C87" s="254"/>
      <c r="D87" s="247"/>
      <c r="E87" s="194">
        <f t="shared" si="4"/>
        <v>0</v>
      </c>
      <c r="G87" s="158"/>
    </row>
    <row r="88" spans="1:7" x14ac:dyDescent="0.2">
      <c r="A88" s="209" t="s">
        <v>17</v>
      </c>
      <c r="B88" s="195" t="s">
        <v>7</v>
      </c>
      <c r="C88" s="254"/>
      <c r="D88" s="247"/>
      <c r="E88" s="194">
        <f t="shared" si="4"/>
        <v>0</v>
      </c>
      <c r="G88" s="158"/>
    </row>
    <row r="89" spans="1:7" ht="13.15" customHeight="1" x14ac:dyDescent="0.2">
      <c r="A89" s="209" t="s">
        <v>205</v>
      </c>
      <c r="B89" s="195" t="s">
        <v>7</v>
      </c>
      <c r="C89" s="254"/>
      <c r="D89" s="247"/>
      <c r="E89" s="194">
        <f t="shared" si="4"/>
        <v>0</v>
      </c>
      <c r="G89" s="158"/>
    </row>
    <row r="90" spans="1:7" ht="13.9" customHeight="1" x14ac:dyDescent="0.2">
      <c r="A90" s="209" t="s">
        <v>197</v>
      </c>
      <c r="B90" s="195" t="s">
        <v>30</v>
      </c>
      <c r="C90" s="254"/>
      <c r="D90" s="247"/>
      <c r="E90" s="194">
        <f t="shared" si="4"/>
        <v>0</v>
      </c>
      <c r="G90" s="158"/>
    </row>
    <row r="91" spans="1:7" ht="13.9" customHeight="1" x14ac:dyDescent="0.2">
      <c r="A91" s="209" t="s">
        <v>207</v>
      </c>
      <c r="B91" s="195" t="s">
        <v>7</v>
      </c>
      <c r="C91" s="254"/>
      <c r="D91" s="247"/>
      <c r="E91" s="194">
        <f t="shared" si="4"/>
        <v>0</v>
      </c>
      <c r="G91" s="158"/>
    </row>
    <row r="92" spans="1:7" ht="13.15" customHeight="1" x14ac:dyDescent="0.2">
      <c r="A92" s="177" t="s">
        <v>61</v>
      </c>
      <c r="B92" s="195" t="s">
        <v>30</v>
      </c>
      <c r="C92" s="254"/>
      <c r="D92" s="247"/>
      <c r="E92" s="194">
        <f t="shared" si="4"/>
        <v>0</v>
      </c>
    </row>
    <row r="93" spans="1:7" x14ac:dyDescent="0.2">
      <c r="A93" s="209" t="s">
        <v>198</v>
      </c>
      <c r="B93" s="195" t="s">
        <v>7</v>
      </c>
      <c r="C93" s="254"/>
      <c r="D93" s="247"/>
      <c r="E93" s="194">
        <f t="shared" si="4"/>
        <v>0</v>
      </c>
    </row>
    <row r="94" spans="1:7" s="226" customFormat="1" x14ac:dyDescent="0.2">
      <c r="A94" s="177" t="s">
        <v>18</v>
      </c>
      <c r="B94" s="224" t="s">
        <v>30</v>
      </c>
      <c r="C94" s="254"/>
      <c r="D94" s="247"/>
      <c r="E94" s="194">
        <f t="shared" si="4"/>
        <v>0</v>
      </c>
      <c r="F94" s="225"/>
      <c r="G94" s="225"/>
    </row>
    <row r="95" spans="1:7" x14ac:dyDescent="0.2">
      <c r="A95" s="177" t="s">
        <v>40</v>
      </c>
      <c r="B95" s="195" t="s">
        <v>31</v>
      </c>
      <c r="C95" s="254"/>
      <c r="D95" s="247"/>
      <c r="E95" s="194">
        <f t="shared" si="4"/>
        <v>0</v>
      </c>
    </row>
    <row r="96" spans="1:7" ht="13.15" customHeight="1" x14ac:dyDescent="0.2">
      <c r="A96" s="209" t="s">
        <v>199</v>
      </c>
      <c r="B96" s="195" t="s">
        <v>7</v>
      </c>
      <c r="C96" s="254"/>
      <c r="D96" s="247"/>
      <c r="E96" s="194">
        <f t="shared" si="4"/>
        <v>0</v>
      </c>
    </row>
    <row r="97" spans="1:7" x14ac:dyDescent="0.2">
      <c r="A97" s="177" t="s">
        <v>150</v>
      </c>
      <c r="B97" s="195" t="s">
        <v>73</v>
      </c>
      <c r="C97" s="203">
        <v>1</v>
      </c>
      <c r="D97" s="247"/>
      <c r="E97" s="196">
        <f t="shared" ref="E97:E98" si="5">C97*D97</f>
        <v>0</v>
      </c>
    </row>
    <row r="98" spans="1:7" ht="13.5" thickBot="1" x14ac:dyDescent="0.25">
      <c r="A98" s="177" t="s">
        <v>4</v>
      </c>
      <c r="B98" s="195" t="s">
        <v>5</v>
      </c>
      <c r="C98" s="203">
        <f>E24</f>
        <v>0</v>
      </c>
      <c r="D98" s="196">
        <f>+SUM(E85:E97)</f>
        <v>0</v>
      </c>
      <c r="E98" s="196">
        <f t="shared" si="5"/>
        <v>0</v>
      </c>
    </row>
    <row r="99" spans="1:7" ht="13.5" thickBot="1" x14ac:dyDescent="0.25">
      <c r="D99" s="201" t="s">
        <v>148</v>
      </c>
      <c r="E99" s="176">
        <f>$B$32</f>
        <v>0</v>
      </c>
      <c r="F99" s="202">
        <f>E98*E99</f>
        <v>0</v>
      </c>
    </row>
    <row r="100" spans="1:7" ht="11.25" customHeight="1" x14ac:dyDescent="0.2"/>
    <row r="101" spans="1:7" ht="13.9" customHeight="1" x14ac:dyDescent="0.2">
      <c r="A101" s="158" t="s">
        <v>151</v>
      </c>
    </row>
    <row r="102" spans="1:7" ht="11.25" customHeight="1" thickBot="1" x14ac:dyDescent="0.25"/>
    <row r="103" spans="1:7" ht="24.75" thickBot="1" x14ac:dyDescent="0.25">
      <c r="A103" s="188" t="s">
        <v>41</v>
      </c>
      <c r="B103" s="189" t="s">
        <v>42</v>
      </c>
      <c r="C103" s="223" t="s">
        <v>185</v>
      </c>
      <c r="D103" s="190" t="s">
        <v>177</v>
      </c>
      <c r="E103" s="190" t="s">
        <v>43</v>
      </c>
      <c r="F103" s="191" t="s">
        <v>44</v>
      </c>
    </row>
    <row r="104" spans="1:7" x14ac:dyDescent="0.2">
      <c r="A104" s="192" t="s">
        <v>45</v>
      </c>
      <c r="B104" s="193" t="s">
        <v>7</v>
      </c>
      <c r="C104" s="254"/>
      <c r="D104" s="194">
        <f>+D85</f>
        <v>0</v>
      </c>
      <c r="E104" s="194">
        <f>IFERROR(D104/C104,0)</f>
        <v>0</v>
      </c>
    </row>
    <row r="105" spans="1:7" x14ac:dyDescent="0.2">
      <c r="A105" s="177" t="s">
        <v>16</v>
      </c>
      <c r="B105" s="195" t="s">
        <v>7</v>
      </c>
      <c r="C105" s="254"/>
      <c r="D105" s="196">
        <f>+D86</f>
        <v>0</v>
      </c>
      <c r="E105" s="194">
        <f t="shared" ref="E105:E111" si="6">IFERROR(D105/C105,0)</f>
        <v>0</v>
      </c>
    </row>
    <row r="106" spans="1:7" x14ac:dyDescent="0.2">
      <c r="A106" s="177" t="s">
        <v>17</v>
      </c>
      <c r="B106" s="195" t="s">
        <v>7</v>
      </c>
      <c r="C106" s="254"/>
      <c r="D106" s="196">
        <f>+D88</f>
        <v>0</v>
      </c>
      <c r="E106" s="194">
        <f t="shared" si="6"/>
        <v>0</v>
      </c>
    </row>
    <row r="107" spans="1:7" x14ac:dyDescent="0.2">
      <c r="A107" s="209" t="s">
        <v>205</v>
      </c>
      <c r="B107" s="195" t="s">
        <v>7</v>
      </c>
      <c r="C107" s="254"/>
      <c r="D107" s="196">
        <v>9</v>
      </c>
      <c r="E107" s="194">
        <f t="shared" si="6"/>
        <v>0</v>
      </c>
    </row>
    <row r="108" spans="1:7" x14ac:dyDescent="0.2">
      <c r="A108" s="209" t="s">
        <v>206</v>
      </c>
      <c r="B108" s="195" t="s">
        <v>7</v>
      </c>
      <c r="C108" s="254"/>
      <c r="D108" s="196">
        <v>30</v>
      </c>
      <c r="E108" s="194">
        <f t="shared" si="6"/>
        <v>0</v>
      </c>
    </row>
    <row r="109" spans="1:7" x14ac:dyDescent="0.2">
      <c r="A109" s="209" t="s">
        <v>197</v>
      </c>
      <c r="B109" s="195" t="s">
        <v>30</v>
      </c>
      <c r="C109" s="254"/>
      <c r="D109" s="196">
        <f>+D90</f>
        <v>0</v>
      </c>
      <c r="E109" s="194">
        <f t="shared" si="6"/>
        <v>0</v>
      </c>
    </row>
    <row r="110" spans="1:7" x14ac:dyDescent="0.2">
      <c r="A110" s="209" t="s">
        <v>198</v>
      </c>
      <c r="B110" s="195" t="s">
        <v>7</v>
      </c>
      <c r="C110" s="254"/>
      <c r="D110" s="196">
        <f>+D93</f>
        <v>0</v>
      </c>
      <c r="E110" s="194">
        <f t="shared" si="6"/>
        <v>0</v>
      </c>
      <c r="G110" s="158"/>
    </row>
    <row r="111" spans="1:7" x14ac:dyDescent="0.2">
      <c r="A111" s="177" t="s">
        <v>40</v>
      </c>
      <c r="B111" s="195" t="s">
        <v>31</v>
      </c>
      <c r="C111" s="254"/>
      <c r="D111" s="196">
        <f>+D95</f>
        <v>0</v>
      </c>
      <c r="E111" s="194">
        <f t="shared" si="6"/>
        <v>0</v>
      </c>
      <c r="G111" s="158"/>
    </row>
    <row r="112" spans="1:7" x14ac:dyDescent="0.2">
      <c r="A112" s="177" t="s">
        <v>150</v>
      </c>
      <c r="B112" s="195" t="s">
        <v>73</v>
      </c>
      <c r="C112" s="203">
        <v>1</v>
      </c>
      <c r="D112" s="247"/>
      <c r="E112" s="196">
        <f t="shared" ref="E112" si="7">C112*D112</f>
        <v>0</v>
      </c>
      <c r="G112" s="158"/>
    </row>
    <row r="113" spans="1:10" ht="13.5" thickBot="1" x14ac:dyDescent="0.25">
      <c r="A113" s="177" t="s">
        <v>4</v>
      </c>
      <c r="B113" s="195" t="s">
        <v>5</v>
      </c>
      <c r="C113" s="203">
        <f>E25</f>
        <v>0</v>
      </c>
      <c r="D113" s="196">
        <f>+SUM(E104:E112)</f>
        <v>0</v>
      </c>
      <c r="E113" s="196">
        <f>C113*D113</f>
        <v>0</v>
      </c>
      <c r="G113" s="158"/>
    </row>
    <row r="114" spans="1:10" ht="13.5" thickBot="1" x14ac:dyDescent="0.25">
      <c r="D114" s="201" t="s">
        <v>148</v>
      </c>
      <c r="E114" s="176">
        <f>$B$32</f>
        <v>0</v>
      </c>
      <c r="F114" s="202">
        <f>E113*E114</f>
        <v>0</v>
      </c>
      <c r="G114" s="158"/>
    </row>
    <row r="115" spans="1:10" ht="11.25" customHeight="1" thickBot="1" x14ac:dyDescent="0.25">
      <c r="G115" s="158"/>
    </row>
    <row r="116" spans="1:10" ht="13.5" thickBot="1" x14ac:dyDescent="0.25">
      <c r="A116" s="219" t="s">
        <v>152</v>
      </c>
      <c r="B116" s="227"/>
      <c r="C116" s="227"/>
      <c r="D116" s="228"/>
      <c r="E116" s="229"/>
      <c r="F116" s="230">
        <f>+F99+F114</f>
        <v>0</v>
      </c>
      <c r="G116" s="158"/>
    </row>
    <row r="117" spans="1:10" ht="11.25" customHeight="1" x14ac:dyDescent="0.2">
      <c r="G117" s="158"/>
    </row>
    <row r="118" spans="1:10" x14ac:dyDescent="0.2">
      <c r="A118" s="142" t="s">
        <v>35</v>
      </c>
      <c r="G118" s="158"/>
    </row>
    <row r="119" spans="1:10" ht="11.25" customHeight="1" x14ac:dyDescent="0.2">
      <c r="B119" s="231"/>
      <c r="G119" s="158"/>
    </row>
    <row r="120" spans="1:10" x14ac:dyDescent="0.2">
      <c r="A120" s="121" t="s">
        <v>212</v>
      </c>
      <c r="I120" s="234"/>
      <c r="J120" s="234"/>
    </row>
    <row r="121" spans="1:10" x14ac:dyDescent="0.2">
      <c r="I121" s="234"/>
      <c r="J121" s="234"/>
    </row>
    <row r="122" spans="1:10" ht="11.25" customHeight="1" thickBot="1" x14ac:dyDescent="0.25">
      <c r="A122" s="231" t="s">
        <v>28</v>
      </c>
      <c r="I122" s="234"/>
      <c r="J122" s="234"/>
    </row>
    <row r="123" spans="1:10" ht="11.25" customHeight="1" thickBot="1" x14ac:dyDescent="0.25">
      <c r="A123" s="188" t="s">
        <v>41</v>
      </c>
      <c r="B123" s="189" t="s">
        <v>42</v>
      </c>
      <c r="C123" s="189" t="s">
        <v>23</v>
      </c>
      <c r="D123" s="190" t="s">
        <v>177</v>
      </c>
      <c r="E123" s="190" t="s">
        <v>43</v>
      </c>
      <c r="F123" s="191" t="s">
        <v>44</v>
      </c>
      <c r="G123" s="158"/>
    </row>
    <row r="124" spans="1:10" x14ac:dyDescent="0.2">
      <c r="A124" s="192" t="s">
        <v>66</v>
      </c>
      <c r="B124" s="193" t="s">
        <v>7</v>
      </c>
      <c r="C124" s="193">
        <v>1</v>
      </c>
      <c r="D124" s="255"/>
      <c r="E124" s="194">
        <f>C124*D124</f>
        <v>0</v>
      </c>
      <c r="G124" s="158"/>
    </row>
    <row r="125" spans="1:10" ht="11.25" customHeight="1" x14ac:dyDescent="0.2">
      <c r="A125" s="177" t="s">
        <v>63</v>
      </c>
      <c r="B125" s="195" t="s">
        <v>64</v>
      </c>
      <c r="C125" s="195">
        <v>10</v>
      </c>
      <c r="D125" s="196"/>
      <c r="E125" s="196"/>
      <c r="G125" s="158"/>
    </row>
    <row r="126" spans="1:10" x14ac:dyDescent="0.2">
      <c r="A126" s="177" t="s">
        <v>157</v>
      </c>
      <c r="B126" s="195" t="s">
        <v>64</v>
      </c>
      <c r="C126" s="248"/>
      <c r="D126" s="196"/>
      <c r="E126" s="196"/>
      <c r="F126" s="233"/>
      <c r="G126" s="158"/>
    </row>
    <row r="127" spans="1:10" ht="11.25" customHeight="1" x14ac:dyDescent="0.2">
      <c r="A127" s="177" t="s">
        <v>65</v>
      </c>
      <c r="B127" s="195" t="s">
        <v>1</v>
      </c>
      <c r="C127" s="196">
        <v>65.180000000000007</v>
      </c>
      <c r="D127" s="196">
        <f>E124</f>
        <v>0</v>
      </c>
      <c r="E127" s="196">
        <f>C127*D127/100</f>
        <v>0</v>
      </c>
      <c r="G127" s="158"/>
    </row>
    <row r="128" spans="1:10" ht="13.5" thickBot="1" x14ac:dyDescent="0.25">
      <c r="A128" s="235" t="s">
        <v>201</v>
      </c>
      <c r="B128" s="236" t="s">
        <v>6</v>
      </c>
      <c r="C128" s="236">
        <f>C125*12</f>
        <v>120</v>
      </c>
      <c r="D128" s="237">
        <f>IF(C126&lt;=C125,E127,0)</f>
        <v>0</v>
      </c>
      <c r="E128" s="237">
        <f>IFERROR(D128/C128,0)</f>
        <v>0</v>
      </c>
      <c r="G128" s="158"/>
    </row>
    <row r="129" spans="1:7" ht="11.25" customHeight="1" thickTop="1" thickBot="1" x14ac:dyDescent="0.25">
      <c r="A129" s="181" t="s">
        <v>187</v>
      </c>
      <c r="B129" s="238" t="s">
        <v>7</v>
      </c>
      <c r="C129" s="248"/>
      <c r="D129" s="204">
        <f>E128</f>
        <v>0</v>
      </c>
      <c r="E129" s="200">
        <f>C129*D129</f>
        <v>0</v>
      </c>
      <c r="G129" s="158"/>
    </row>
    <row r="130" spans="1:7" ht="13.5" thickBot="1" x14ac:dyDescent="0.25">
      <c r="A130" s="239"/>
      <c r="B130" s="239"/>
      <c r="C130" s="239"/>
      <c r="D130" s="201" t="s">
        <v>148</v>
      </c>
      <c r="E130" s="176">
        <f>$B$32</f>
        <v>0</v>
      </c>
      <c r="F130" s="230">
        <f>E129*E130</f>
        <v>0</v>
      </c>
    </row>
    <row r="131" spans="1:7" ht="11.25" customHeight="1" x14ac:dyDescent="0.2"/>
    <row r="132" spans="1:7" ht="13.5" thickBot="1" x14ac:dyDescent="0.25">
      <c r="A132" s="231" t="s">
        <v>69</v>
      </c>
    </row>
    <row r="133" spans="1:7" ht="13.5" thickBot="1" x14ac:dyDescent="0.25">
      <c r="A133" s="240" t="s">
        <v>41</v>
      </c>
      <c r="B133" s="241" t="s">
        <v>42</v>
      </c>
      <c r="C133" s="241" t="s">
        <v>23</v>
      </c>
      <c r="D133" s="190" t="s">
        <v>177</v>
      </c>
      <c r="E133" s="242" t="s">
        <v>43</v>
      </c>
      <c r="F133" s="191" t="s">
        <v>44</v>
      </c>
    </row>
    <row r="134" spans="1:7" ht="11.25" customHeight="1" x14ac:dyDescent="0.2">
      <c r="A134" s="209" t="s">
        <v>239</v>
      </c>
      <c r="B134" s="195" t="s">
        <v>7</v>
      </c>
      <c r="C134" s="195">
        <v>1</v>
      </c>
      <c r="D134" s="196">
        <f>D124</f>
        <v>0</v>
      </c>
      <c r="E134" s="196">
        <f>C134*D134</f>
        <v>0</v>
      </c>
      <c r="F134" s="233"/>
    </row>
    <row r="135" spans="1:7" ht="17.25" customHeight="1" x14ac:dyDescent="0.2">
      <c r="A135" s="177" t="s">
        <v>159</v>
      </c>
      <c r="B135" s="195" t="s">
        <v>1</v>
      </c>
      <c r="C135" s="195">
        <v>6</v>
      </c>
      <c r="D135" s="196"/>
      <c r="E135" s="196"/>
      <c r="F135" s="233"/>
    </row>
    <row r="136" spans="1:7" ht="11.25" customHeight="1" x14ac:dyDescent="0.2">
      <c r="A136" s="177" t="s">
        <v>158</v>
      </c>
      <c r="B136" s="195" t="s">
        <v>19</v>
      </c>
      <c r="C136" s="243">
        <f>IFERROR(IF(C126&lt;=C125,E124-(C127/(100*C125)*C126)*E124,E124-E127),0)</f>
        <v>0</v>
      </c>
      <c r="D136" s="196"/>
      <c r="E136" s="196"/>
      <c r="F136" s="233"/>
    </row>
    <row r="137" spans="1:7" x14ac:dyDescent="0.2">
      <c r="A137" s="177" t="s">
        <v>71</v>
      </c>
      <c r="B137" s="195" t="s">
        <v>19</v>
      </c>
      <c r="C137" s="196">
        <f>IFERROR(IF(C126&gt;=C125,C136,((((C136)-(E124-E127))*(((C125-C126)+1)/(2*(C125-C126))))+(E124-E127))),0)</f>
        <v>0</v>
      </c>
      <c r="D137" s="196"/>
      <c r="E137" s="196"/>
      <c r="F137" s="233"/>
    </row>
    <row r="138" spans="1:7" ht="11.25" customHeight="1" thickBot="1" x14ac:dyDescent="0.25">
      <c r="A138" s="235" t="s">
        <v>72</v>
      </c>
      <c r="B138" s="236" t="s">
        <v>19</v>
      </c>
      <c r="C138" s="236"/>
      <c r="D138" s="237">
        <f>C135*C137/12/100</f>
        <v>0</v>
      </c>
      <c r="E138" s="237">
        <f>D138</f>
        <v>0</v>
      </c>
      <c r="F138" s="233"/>
    </row>
    <row r="139" spans="1:7" ht="11.25" customHeight="1" thickTop="1" thickBot="1" x14ac:dyDescent="0.25">
      <c r="A139" s="181" t="s">
        <v>187</v>
      </c>
      <c r="B139" s="238" t="s">
        <v>7</v>
      </c>
      <c r="C139" s="195">
        <f>C129</f>
        <v>0</v>
      </c>
      <c r="D139" s="204">
        <f>E138</f>
        <v>0</v>
      </c>
      <c r="E139" s="200">
        <f>C139*D139</f>
        <v>0</v>
      </c>
      <c r="F139" s="233"/>
    </row>
    <row r="140" spans="1:7" ht="24.75" customHeight="1" thickBot="1" x14ac:dyDescent="0.25">
      <c r="C140" s="244"/>
      <c r="D140" s="201" t="s">
        <v>148</v>
      </c>
      <c r="E140" s="176">
        <f>$B$32</f>
        <v>0</v>
      </c>
      <c r="F140" s="230">
        <f>E139*E140</f>
        <v>0</v>
      </c>
    </row>
    <row r="141" spans="1:7" ht="12.6" customHeight="1" x14ac:dyDescent="0.2"/>
    <row r="142" spans="1:7" ht="13.5" thickBot="1" x14ac:dyDescent="0.25">
      <c r="A142" s="121" t="s">
        <v>32</v>
      </c>
    </row>
    <row r="143" spans="1:7" ht="16.149999999999999" customHeight="1" thickBot="1" x14ac:dyDescent="0.25">
      <c r="A143" s="188" t="s">
        <v>41</v>
      </c>
      <c r="B143" s="189" t="s">
        <v>42</v>
      </c>
      <c r="C143" s="189" t="s">
        <v>23</v>
      </c>
      <c r="D143" s="190" t="s">
        <v>177</v>
      </c>
      <c r="E143" s="190" t="s">
        <v>43</v>
      </c>
      <c r="F143" s="191" t="s">
        <v>44</v>
      </c>
    </row>
    <row r="144" spans="1:7" x14ac:dyDescent="0.2">
      <c r="A144" s="192" t="s">
        <v>8</v>
      </c>
      <c r="B144" s="193" t="s">
        <v>7</v>
      </c>
      <c r="C144" s="194">
        <f>C129</f>
        <v>0</v>
      </c>
      <c r="D144" s="232">
        <f>D124*1%</f>
        <v>0</v>
      </c>
      <c r="E144" s="232">
        <f>D144*C144</f>
        <v>0</v>
      </c>
    </row>
    <row r="145" spans="1:7" ht="25.5" customHeight="1" x14ac:dyDescent="0.2">
      <c r="A145" s="177" t="s">
        <v>147</v>
      </c>
      <c r="B145" s="195" t="s">
        <v>7</v>
      </c>
      <c r="C145" s="194">
        <f>C129</f>
        <v>0</v>
      </c>
      <c r="D145" s="256"/>
      <c r="E145" s="232">
        <f>D145*C145</f>
        <v>0</v>
      </c>
    </row>
    <row r="146" spans="1:7" ht="12.6" customHeight="1" x14ac:dyDescent="0.2">
      <c r="A146" s="177" t="s">
        <v>9</v>
      </c>
      <c r="B146" s="195" t="s">
        <v>7</v>
      </c>
      <c r="C146" s="194">
        <f>C129</f>
        <v>0</v>
      </c>
      <c r="D146" s="256"/>
      <c r="E146" s="232">
        <f>D146*C146</f>
        <v>0</v>
      </c>
      <c r="F146" s="117"/>
    </row>
    <row r="147" spans="1:7" s="124" customFormat="1" ht="9.75" customHeight="1" thickBot="1" x14ac:dyDescent="0.25">
      <c r="A147" s="181" t="s">
        <v>10</v>
      </c>
      <c r="B147" s="238" t="s">
        <v>6</v>
      </c>
      <c r="C147" s="238">
        <v>12</v>
      </c>
      <c r="D147" s="204" t="s">
        <v>196</v>
      </c>
      <c r="E147" s="204">
        <f>(SUM(E144:E146))/12</f>
        <v>0</v>
      </c>
      <c r="F147" s="159"/>
      <c r="G147" s="123"/>
    </row>
    <row r="148" spans="1:7" s="124" customFormat="1" ht="9.75" customHeight="1" thickBot="1" x14ac:dyDescent="0.25">
      <c r="A148" s="158"/>
      <c r="B148" s="158"/>
      <c r="C148" s="158"/>
      <c r="D148" s="201" t="s">
        <v>148</v>
      </c>
      <c r="E148" s="176">
        <f>$B$32</f>
        <v>0</v>
      </c>
      <c r="F148" s="202">
        <f>E147*E148</f>
        <v>0</v>
      </c>
      <c r="G148" s="123"/>
    </row>
    <row r="149" spans="1:7" s="124" customFormat="1" ht="9.75" customHeight="1" x14ac:dyDescent="0.2">
      <c r="A149" s="158"/>
      <c r="B149" s="158"/>
      <c r="C149" s="158"/>
      <c r="D149" s="159"/>
      <c r="E149" s="159"/>
      <c r="F149" s="159"/>
      <c r="G149" s="123"/>
    </row>
    <row r="150" spans="1:7" x14ac:dyDescent="0.2">
      <c r="A150" s="121" t="s">
        <v>33</v>
      </c>
      <c r="B150" s="245"/>
    </row>
    <row r="151" spans="1:7" x14ac:dyDescent="0.2">
      <c r="B151" s="245"/>
    </row>
    <row r="152" spans="1:7" x14ac:dyDescent="0.2">
      <c r="A152" s="259" t="s">
        <v>213</v>
      </c>
      <c r="B152" s="260">
        <v>1200</v>
      </c>
      <c r="C152" s="261"/>
      <c r="D152" s="262"/>
      <c r="E152" s="262"/>
      <c r="F152" s="262"/>
    </row>
    <row r="153" spans="1:7" ht="13.5" thickBot="1" x14ac:dyDescent="0.25">
      <c r="A153" s="261"/>
      <c r="B153" s="263"/>
      <c r="C153" s="261"/>
      <c r="D153" s="262"/>
      <c r="E153" s="262"/>
      <c r="F153" s="262"/>
    </row>
    <row r="154" spans="1:7" ht="13.5" thickBot="1" x14ac:dyDescent="0.25">
      <c r="A154" s="264" t="s">
        <v>41</v>
      </c>
      <c r="B154" s="265" t="s">
        <v>42</v>
      </c>
      <c r="C154" s="265" t="s">
        <v>186</v>
      </c>
      <c r="D154" s="266" t="s">
        <v>177</v>
      </c>
      <c r="E154" s="266" t="s">
        <v>43</v>
      </c>
      <c r="F154" s="267" t="s">
        <v>44</v>
      </c>
    </row>
    <row r="155" spans="1:7" x14ac:dyDescent="0.2">
      <c r="A155" s="268" t="s">
        <v>214</v>
      </c>
      <c r="B155" s="269" t="s">
        <v>215</v>
      </c>
      <c r="C155" s="270"/>
      <c r="D155" s="271"/>
      <c r="E155" s="272"/>
      <c r="F155" s="262"/>
    </row>
    <row r="156" spans="1:7" x14ac:dyDescent="0.2">
      <c r="A156" s="273" t="s">
        <v>11</v>
      </c>
      <c r="B156" s="274" t="s">
        <v>216</v>
      </c>
      <c r="C156" s="275">
        <f>B152</f>
        <v>1200</v>
      </c>
      <c r="D156" s="276" t="str">
        <f>IFERROR(+D155/C155,"-")</f>
        <v>-</v>
      </c>
      <c r="E156" s="277" t="str">
        <f>IFERROR(C156*D156,"-")</f>
        <v>-</v>
      </c>
      <c r="F156" s="262"/>
    </row>
    <row r="157" spans="1:7" x14ac:dyDescent="0.2">
      <c r="A157" s="268" t="s">
        <v>217</v>
      </c>
      <c r="B157" s="269" t="s">
        <v>215</v>
      </c>
      <c r="C157" s="270"/>
      <c r="D157" s="271"/>
      <c r="E157" s="272"/>
      <c r="F157" s="262"/>
    </row>
    <row r="158" spans="1:7" x14ac:dyDescent="0.2">
      <c r="A158" s="273" t="s">
        <v>218</v>
      </c>
      <c r="B158" s="274" t="s">
        <v>216</v>
      </c>
      <c r="C158" s="275">
        <f>B152</f>
        <v>1200</v>
      </c>
      <c r="D158" s="276" t="str">
        <f>IFERROR(+D157/C157,"-")</f>
        <v>-</v>
      </c>
      <c r="E158" s="277" t="str">
        <f>IFERROR(C158*D158,"-")</f>
        <v>-</v>
      </c>
      <c r="F158" s="262"/>
    </row>
    <row r="159" spans="1:7" x14ac:dyDescent="0.2">
      <c r="A159" s="273" t="s">
        <v>219</v>
      </c>
      <c r="B159" s="274" t="s">
        <v>220</v>
      </c>
      <c r="C159" s="278"/>
      <c r="D159" s="256"/>
      <c r="E159" s="277"/>
      <c r="F159" s="262"/>
    </row>
    <row r="160" spans="1:7" x14ac:dyDescent="0.2">
      <c r="A160" s="273" t="s">
        <v>12</v>
      </c>
      <c r="B160" s="274" t="s">
        <v>216</v>
      </c>
      <c r="C160" s="275">
        <f>C156</f>
        <v>1200</v>
      </c>
      <c r="D160" s="279">
        <f>+C159*D159/1000</f>
        <v>0</v>
      </c>
      <c r="E160" s="277">
        <f>C160*D160</f>
        <v>0</v>
      </c>
      <c r="F160" s="262"/>
    </row>
    <row r="161" spans="1:6" x14ac:dyDescent="0.2">
      <c r="A161" s="273" t="s">
        <v>221</v>
      </c>
      <c r="B161" s="274" t="s">
        <v>220</v>
      </c>
      <c r="C161" s="278"/>
      <c r="D161" s="256"/>
      <c r="E161" s="277"/>
      <c r="F161" s="262"/>
    </row>
    <row r="162" spans="1:6" x14ac:dyDescent="0.2">
      <c r="A162" s="273" t="s">
        <v>13</v>
      </c>
      <c r="B162" s="274" t="s">
        <v>216</v>
      </c>
      <c r="C162" s="275">
        <f>C156</f>
        <v>1200</v>
      </c>
      <c r="D162" s="279">
        <f>+C161*D161/1000</f>
        <v>0</v>
      </c>
      <c r="E162" s="277">
        <f>C162*D162</f>
        <v>0</v>
      </c>
      <c r="F162" s="262"/>
    </row>
    <row r="163" spans="1:6" x14ac:dyDescent="0.2">
      <c r="A163" s="273" t="s">
        <v>222</v>
      </c>
      <c r="B163" s="274" t="s">
        <v>220</v>
      </c>
      <c r="C163" s="278"/>
      <c r="D163" s="256"/>
      <c r="E163" s="277"/>
      <c r="F163" s="262"/>
    </row>
    <row r="164" spans="1:6" x14ac:dyDescent="0.2">
      <c r="A164" s="273" t="s">
        <v>14</v>
      </c>
      <c r="B164" s="274" t="s">
        <v>216</v>
      </c>
      <c r="C164" s="275">
        <f>C156</f>
        <v>1200</v>
      </c>
      <c r="D164" s="279">
        <f>+C163*D163/1000</f>
        <v>0</v>
      </c>
      <c r="E164" s="277">
        <f>C164*D164</f>
        <v>0</v>
      </c>
      <c r="F164" s="262"/>
    </row>
    <row r="165" spans="1:6" x14ac:dyDescent="0.2">
      <c r="A165" s="273" t="s">
        <v>223</v>
      </c>
      <c r="B165" s="274" t="s">
        <v>224</v>
      </c>
      <c r="C165" s="278"/>
      <c r="D165" s="256"/>
      <c r="E165" s="277"/>
      <c r="F165" s="262"/>
    </row>
    <row r="166" spans="1:6" x14ac:dyDescent="0.2">
      <c r="A166" s="273" t="s">
        <v>15</v>
      </c>
      <c r="B166" s="274" t="s">
        <v>216</v>
      </c>
      <c r="C166" s="275">
        <f>C156</f>
        <v>1200</v>
      </c>
      <c r="D166" s="279">
        <f>+C165*D165/1000</f>
        <v>0</v>
      </c>
      <c r="E166" s="277">
        <f>C166*D166</f>
        <v>0</v>
      </c>
      <c r="F166" s="262"/>
    </row>
    <row r="167" spans="1:6" ht="13.5" thickBot="1" x14ac:dyDescent="0.25">
      <c r="A167" s="259" t="s">
        <v>225</v>
      </c>
      <c r="B167" s="280" t="s">
        <v>226</v>
      </c>
      <c r="C167" s="281"/>
      <c r="D167" s="282">
        <f>IFERROR(D156+D160+D162+D164+D166,0)</f>
        <v>0</v>
      </c>
      <c r="E167" s="277"/>
      <c r="F167" s="262"/>
    </row>
    <row r="168" spans="1:6" ht="13.5" thickBot="1" x14ac:dyDescent="0.25">
      <c r="A168" s="261"/>
      <c r="B168" s="261"/>
      <c r="C168" s="261"/>
      <c r="D168" s="262"/>
      <c r="E168" s="262"/>
      <c r="F168" s="283">
        <f>SUM(E155:E166)</f>
        <v>0</v>
      </c>
    </row>
    <row r="169" spans="1:6" x14ac:dyDescent="0.2">
      <c r="A169" s="261"/>
      <c r="B169" s="261"/>
      <c r="C169" s="261"/>
      <c r="D169" s="262"/>
      <c r="E169" s="262"/>
      <c r="F169" s="262"/>
    </row>
    <row r="170" spans="1:6" ht="13.5" thickBot="1" x14ac:dyDescent="0.25">
      <c r="A170" s="261" t="s">
        <v>34</v>
      </c>
      <c r="B170" s="261"/>
      <c r="C170" s="261"/>
      <c r="D170" s="262"/>
      <c r="E170" s="262"/>
      <c r="F170" s="262"/>
    </row>
    <row r="171" spans="1:6" ht="13.5" thickBot="1" x14ac:dyDescent="0.25">
      <c r="A171" s="264" t="s">
        <v>41</v>
      </c>
      <c r="B171" s="265" t="s">
        <v>42</v>
      </c>
      <c r="C171" s="265" t="s">
        <v>23</v>
      </c>
      <c r="D171" s="266" t="s">
        <v>177</v>
      </c>
      <c r="E171" s="266" t="s">
        <v>43</v>
      </c>
      <c r="F171" s="267" t="s">
        <v>44</v>
      </c>
    </row>
    <row r="172" spans="1:6" ht="13.5" thickBot="1" x14ac:dyDescent="0.25">
      <c r="A172" s="268" t="s">
        <v>227</v>
      </c>
      <c r="B172" s="269" t="s">
        <v>226</v>
      </c>
      <c r="C172" s="275">
        <f>C156</f>
        <v>1200</v>
      </c>
      <c r="D172" s="255"/>
      <c r="E172" s="272">
        <f>C172*D172</f>
        <v>0</v>
      </c>
      <c r="F172" s="262"/>
    </row>
    <row r="173" spans="1:6" ht="13.5" thickBot="1" x14ac:dyDescent="0.25">
      <c r="A173" s="261"/>
      <c r="B173" s="261"/>
      <c r="C173" s="261"/>
      <c r="D173" s="262"/>
      <c r="E173" s="262"/>
      <c r="F173" s="283">
        <f>E172</f>
        <v>0</v>
      </c>
    </row>
    <row r="174" spans="1:6" x14ac:dyDescent="0.2">
      <c r="A174" s="261"/>
      <c r="B174" s="261"/>
      <c r="C174" s="261"/>
      <c r="D174" s="262"/>
      <c r="E174" s="262"/>
      <c r="F174" s="262"/>
    </row>
    <row r="175" spans="1:6" ht="13.5" thickBot="1" x14ac:dyDescent="0.25">
      <c r="A175" s="261" t="s">
        <v>39</v>
      </c>
      <c r="B175" s="261"/>
      <c r="C175" s="261"/>
      <c r="D175" s="262"/>
      <c r="E175" s="262"/>
      <c r="F175" s="262"/>
    </row>
    <row r="176" spans="1:6" ht="13.5" thickBot="1" x14ac:dyDescent="0.25">
      <c r="A176" s="264" t="s">
        <v>41</v>
      </c>
      <c r="B176" s="265" t="s">
        <v>42</v>
      </c>
      <c r="C176" s="265" t="s">
        <v>23</v>
      </c>
      <c r="D176" s="266" t="s">
        <v>177</v>
      </c>
      <c r="E176" s="266" t="s">
        <v>43</v>
      </c>
      <c r="F176" s="267" t="s">
        <v>44</v>
      </c>
    </row>
    <row r="177" spans="1:6" x14ac:dyDescent="0.2">
      <c r="A177" s="287" t="s">
        <v>232</v>
      </c>
      <c r="B177" s="269" t="s">
        <v>7</v>
      </c>
      <c r="C177" s="284"/>
      <c r="D177" s="255"/>
      <c r="E177" s="272">
        <f>C177*D177</f>
        <v>0</v>
      </c>
      <c r="F177" s="262"/>
    </row>
    <row r="178" spans="1:6" x14ac:dyDescent="0.2">
      <c r="A178" s="268" t="s">
        <v>228</v>
      </c>
      <c r="B178" s="269" t="s">
        <v>7</v>
      </c>
      <c r="C178" s="284"/>
      <c r="D178" s="285"/>
      <c r="E178" s="272"/>
      <c r="F178" s="262"/>
    </row>
    <row r="179" spans="1:6" x14ac:dyDescent="0.2">
      <c r="A179" s="268" t="s">
        <v>229</v>
      </c>
      <c r="B179" s="269" t="s">
        <v>7</v>
      </c>
      <c r="C179" s="272">
        <f>C177*C178</f>
        <v>0</v>
      </c>
      <c r="D179" s="255"/>
      <c r="E179" s="272">
        <f>C179*D179</f>
        <v>0</v>
      </c>
      <c r="F179" s="262"/>
    </row>
    <row r="180" spans="1:6" x14ac:dyDescent="0.2">
      <c r="A180" s="273" t="s">
        <v>231</v>
      </c>
      <c r="B180" s="274" t="s">
        <v>230</v>
      </c>
      <c r="C180" s="286"/>
      <c r="D180" s="277">
        <f>E177+E179</f>
        <v>0</v>
      </c>
      <c r="E180" s="277" t="str">
        <f>IFERROR(D180/C180,"-")</f>
        <v>-</v>
      </c>
      <c r="F180" s="262"/>
    </row>
    <row r="181" spans="1:6" ht="13.5" thickBot="1" x14ac:dyDescent="0.25">
      <c r="A181" s="273" t="s">
        <v>36</v>
      </c>
      <c r="B181" s="274" t="s">
        <v>216</v>
      </c>
      <c r="C181" s="275">
        <f>B152</f>
        <v>1200</v>
      </c>
      <c r="D181" s="277" t="str">
        <f>E180</f>
        <v>-</v>
      </c>
      <c r="E181" s="277">
        <f>IFERROR(C181*D181,0)</f>
        <v>0</v>
      </c>
      <c r="F181" s="262"/>
    </row>
    <row r="182" spans="1:6" ht="13.5" thickBot="1" x14ac:dyDescent="0.25">
      <c r="A182" s="261"/>
      <c r="B182" s="261"/>
      <c r="C182" s="261"/>
      <c r="D182" s="262"/>
      <c r="E182" s="262"/>
      <c r="F182" s="283">
        <f>E181</f>
        <v>0</v>
      </c>
    </row>
    <row r="183" spans="1:6" ht="13.5" thickBot="1" x14ac:dyDescent="0.25"/>
    <row r="184" spans="1:6" ht="13.5" thickBot="1" x14ac:dyDescent="0.25">
      <c r="A184" s="219" t="s">
        <v>166</v>
      </c>
      <c r="B184" s="220"/>
      <c r="C184" s="220"/>
      <c r="D184" s="221"/>
      <c r="E184" s="222"/>
      <c r="F184" s="230">
        <f>+SUM(F120:F182)</f>
        <v>0</v>
      </c>
    </row>
    <row r="187" spans="1:6" ht="13.5" thickBot="1" x14ac:dyDescent="0.25"/>
    <row r="188" spans="1:6" ht="13.5" thickBot="1" x14ac:dyDescent="0.25">
      <c r="A188" s="219" t="s">
        <v>167</v>
      </c>
      <c r="B188" s="227"/>
      <c r="C188" s="227"/>
      <c r="D188" s="228"/>
      <c r="E188" s="229"/>
      <c r="F188" s="218">
        <f>+F78+F116+F184</f>
        <v>0</v>
      </c>
    </row>
    <row r="190" spans="1:6" x14ac:dyDescent="0.2">
      <c r="A190" s="142" t="s">
        <v>233</v>
      </c>
    </row>
    <row r="191" spans="1:6" ht="13.5" thickBot="1" x14ac:dyDescent="0.25"/>
    <row r="192" spans="1:6" ht="13.5" thickBot="1" x14ac:dyDescent="0.25">
      <c r="A192" s="188" t="s">
        <v>41</v>
      </c>
      <c r="B192" s="189" t="s">
        <v>42</v>
      </c>
      <c r="C192" s="189" t="s">
        <v>23</v>
      </c>
      <c r="D192" s="190" t="s">
        <v>177</v>
      </c>
      <c r="E192" s="190" t="s">
        <v>43</v>
      </c>
      <c r="F192" s="191" t="s">
        <v>44</v>
      </c>
    </row>
    <row r="193" spans="1:6" ht="13.5" thickBot="1" x14ac:dyDescent="0.25">
      <c r="A193" s="192" t="s">
        <v>20</v>
      </c>
      <c r="B193" s="193" t="s">
        <v>1</v>
      </c>
      <c r="C193" s="196">
        <f>'4.BDI'!C18*100</f>
        <v>0</v>
      </c>
      <c r="D193" s="194">
        <f>+F188</f>
        <v>0</v>
      </c>
      <c r="E193" s="194">
        <f>C193*D193/100</f>
        <v>0</v>
      </c>
    </row>
    <row r="194" spans="1:6" ht="13.5" thickBot="1" x14ac:dyDescent="0.25">
      <c r="F194" s="230">
        <f>+E193</f>
        <v>0</v>
      </c>
    </row>
    <row r="195" spans="1:6" ht="13.5" thickBot="1" x14ac:dyDescent="0.25"/>
    <row r="196" spans="1:6" ht="13.5" thickBot="1" x14ac:dyDescent="0.25">
      <c r="A196" s="219" t="s">
        <v>168</v>
      </c>
      <c r="B196" s="227"/>
      <c r="C196" s="227"/>
      <c r="D196" s="228"/>
      <c r="E196" s="229"/>
      <c r="F196" s="218">
        <f>F188+F194</f>
        <v>0</v>
      </c>
    </row>
    <row r="197" spans="1:6" x14ac:dyDescent="0.2">
      <c r="A197" s="186"/>
      <c r="B197" s="186"/>
      <c r="C197" s="186"/>
      <c r="D197" s="118"/>
      <c r="E197" s="118"/>
      <c r="F197" s="118"/>
    </row>
  </sheetData>
  <mergeCells count="7">
    <mergeCell ref="A28:D28"/>
    <mergeCell ref="A13:C13"/>
    <mergeCell ref="A2:F2"/>
    <mergeCell ref="A3:F3"/>
    <mergeCell ref="A23:D23"/>
    <mergeCell ref="A5:F5"/>
    <mergeCell ref="A22:E22"/>
  </mergeCells>
  <phoneticPr fontId="9" type="noConversion"/>
  <hyperlinks>
    <hyperlink ref="A132" location="AbaRemun" display="3.1.2. Remuneração do Capital"/>
    <hyperlink ref="A122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76" fitToHeight="0" orientation="portrait" r:id="rId1"/>
  <headerFooter alignWithMargins="0">
    <oddFooter>&amp;R&amp;P de &amp;N</oddFooter>
  </headerFooter>
  <rowBreaks count="3" manualBreakCount="3">
    <brk id="33" max="5" man="1"/>
    <brk id="99" max="5" man="1"/>
    <brk id="171" max="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zoomScaleNormal="100" workbookViewId="0">
      <selection activeCell="C34" sqref="C34"/>
    </sheetView>
  </sheetViews>
  <sheetFormatPr defaultRowHeight="12.75" x14ac:dyDescent="0.2"/>
  <cols>
    <col min="1" max="1" width="13.5703125" style="1" customWidth="1"/>
    <col min="2" max="2" width="36.7109375" style="1" bestFit="1" customWidth="1"/>
    <col min="3" max="3" width="14.5703125" style="1" customWidth="1"/>
    <col min="4" max="4" width="37.28515625" style="13" customWidth="1"/>
    <col min="5" max="10" width="9.140625" style="1"/>
    <col min="11" max="11" width="11" style="1" bestFit="1" customWidth="1"/>
    <col min="12" max="16384" width="9.140625" style="1"/>
  </cols>
  <sheetData>
    <row r="1" spans="1:12" x14ac:dyDescent="0.2">
      <c r="A1" s="3"/>
    </row>
    <row r="2" spans="1:12" x14ac:dyDescent="0.2">
      <c r="A2" s="6"/>
    </row>
    <row r="3" spans="1:12" ht="13.5" thickBot="1" x14ac:dyDescent="0.25"/>
    <row r="4" spans="1:12" ht="18" x14ac:dyDescent="0.2">
      <c r="A4" s="305" t="s">
        <v>171</v>
      </c>
      <c r="B4" s="306"/>
      <c r="C4" s="307"/>
      <c r="D4" s="11"/>
      <c r="E4" s="11"/>
      <c r="F4" s="11"/>
    </row>
    <row r="5" spans="1:12" ht="14.25" x14ac:dyDescent="0.2">
      <c r="A5" s="26" t="s">
        <v>93</v>
      </c>
      <c r="B5" s="27" t="s">
        <v>94</v>
      </c>
      <c r="C5" s="28" t="s">
        <v>95</v>
      </c>
      <c r="D5" s="29"/>
    </row>
    <row r="6" spans="1:12" ht="14.25" x14ac:dyDescent="0.2">
      <c r="A6" s="26" t="s">
        <v>96</v>
      </c>
      <c r="B6" s="27" t="s">
        <v>24</v>
      </c>
      <c r="C6" s="30">
        <v>0.2</v>
      </c>
      <c r="D6" s="29"/>
      <c r="F6" s="13"/>
      <c r="G6" s="13"/>
      <c r="H6" s="13"/>
      <c r="I6" s="13"/>
      <c r="J6" s="13"/>
      <c r="K6" s="13"/>
      <c r="L6" s="13"/>
    </row>
    <row r="7" spans="1:12" ht="14.25" x14ac:dyDescent="0.2">
      <c r="A7" s="26" t="s">
        <v>97</v>
      </c>
      <c r="B7" s="27" t="s">
        <v>98</v>
      </c>
      <c r="C7" s="30">
        <v>1.4999999999999999E-2</v>
      </c>
      <c r="D7" s="29"/>
      <c r="F7" s="13"/>
      <c r="G7" s="13"/>
      <c r="H7" s="13"/>
      <c r="I7" s="13"/>
      <c r="J7" s="13"/>
      <c r="K7" s="13"/>
      <c r="L7" s="13"/>
    </row>
    <row r="8" spans="1:12" ht="14.25" x14ac:dyDescent="0.2">
      <c r="A8" s="26" t="s">
        <v>99</v>
      </c>
      <c r="B8" s="27" t="s">
        <v>100</v>
      </c>
      <c r="C8" s="30">
        <v>0.01</v>
      </c>
      <c r="D8" s="29"/>
      <c r="F8" s="13"/>
      <c r="G8" s="13"/>
      <c r="H8" s="13"/>
      <c r="I8" s="13"/>
      <c r="J8" s="13"/>
      <c r="K8" s="13"/>
      <c r="L8" s="13"/>
    </row>
    <row r="9" spans="1:12" ht="14.25" x14ac:dyDescent="0.2">
      <c r="A9" s="26" t="s">
        <v>101</v>
      </c>
      <c r="B9" s="27" t="s">
        <v>102</v>
      </c>
      <c r="C9" s="30">
        <v>2E-3</v>
      </c>
      <c r="D9" s="29"/>
      <c r="F9" s="13"/>
      <c r="G9" s="13"/>
      <c r="H9" s="13"/>
      <c r="I9" s="13"/>
      <c r="J9" s="13"/>
      <c r="K9" s="13"/>
      <c r="L9" s="13"/>
    </row>
    <row r="10" spans="1:12" ht="14.25" x14ac:dyDescent="0.2">
      <c r="A10" s="26" t="s">
        <v>103</v>
      </c>
      <c r="B10" s="27" t="s">
        <v>104</v>
      </c>
      <c r="C10" s="30">
        <v>6.0000000000000001E-3</v>
      </c>
      <c r="D10" s="29"/>
      <c r="F10" s="13"/>
      <c r="G10" s="13"/>
      <c r="H10" s="13"/>
      <c r="I10" s="13"/>
      <c r="J10" s="13"/>
      <c r="K10" s="13"/>
      <c r="L10" s="13"/>
    </row>
    <row r="11" spans="1:12" ht="14.25" x14ac:dyDescent="0.2">
      <c r="A11" s="26" t="s">
        <v>105</v>
      </c>
      <c r="B11" s="27" t="s">
        <v>106</v>
      </c>
      <c r="C11" s="30">
        <v>2.5000000000000001E-2</v>
      </c>
      <c r="D11" s="29"/>
      <c r="F11" s="13"/>
      <c r="G11" s="13"/>
      <c r="H11" s="13"/>
      <c r="I11" s="13"/>
      <c r="J11" s="13"/>
      <c r="K11" s="13"/>
      <c r="L11" s="13"/>
    </row>
    <row r="12" spans="1:12" ht="14.25" x14ac:dyDescent="0.2">
      <c r="A12" s="26" t="s">
        <v>107</v>
      </c>
      <c r="B12" s="27" t="s">
        <v>108</v>
      </c>
      <c r="C12" s="30">
        <v>0.03</v>
      </c>
      <c r="D12" s="29"/>
      <c r="F12" s="13"/>
      <c r="G12" s="13"/>
      <c r="H12" s="13"/>
      <c r="I12" s="13"/>
      <c r="J12" s="13"/>
      <c r="K12" s="13"/>
      <c r="L12" s="13"/>
    </row>
    <row r="13" spans="1:12" ht="14.25" x14ac:dyDescent="0.2">
      <c r="A13" s="26" t="s">
        <v>109</v>
      </c>
      <c r="B13" s="27" t="s">
        <v>25</v>
      </c>
      <c r="C13" s="30">
        <v>0.08</v>
      </c>
      <c r="D13" s="31"/>
      <c r="F13" s="13"/>
      <c r="G13" s="13"/>
      <c r="H13" s="13"/>
      <c r="I13" s="13"/>
      <c r="J13" s="13"/>
      <c r="K13" s="13"/>
      <c r="L13" s="13"/>
    </row>
    <row r="14" spans="1:12" ht="15" x14ac:dyDescent="0.2">
      <c r="A14" s="26" t="s">
        <v>110</v>
      </c>
      <c r="B14" s="32" t="s">
        <v>111</v>
      </c>
      <c r="C14" s="33">
        <f>SUM(C6:C13)</f>
        <v>0.36800000000000005</v>
      </c>
      <c r="D14" s="31"/>
      <c r="F14" s="13"/>
      <c r="G14" s="13"/>
      <c r="H14" s="13"/>
      <c r="I14" s="13"/>
      <c r="J14" s="13"/>
      <c r="K14" s="13"/>
      <c r="L14" s="13"/>
    </row>
    <row r="15" spans="1:12" ht="15" x14ac:dyDescent="0.2">
      <c r="A15" s="34"/>
      <c r="B15" s="35"/>
      <c r="C15" s="36"/>
      <c r="D15" s="31"/>
      <c r="F15" s="13"/>
      <c r="G15" s="13"/>
      <c r="H15" s="13"/>
      <c r="I15" s="13"/>
      <c r="J15" s="13"/>
      <c r="K15" s="13"/>
      <c r="L15" s="13"/>
    </row>
    <row r="16" spans="1:12" ht="14.25" x14ac:dyDescent="0.2">
      <c r="A16" s="26" t="s">
        <v>112</v>
      </c>
      <c r="B16" s="37" t="s">
        <v>113</v>
      </c>
      <c r="C16" s="30">
        <v>6.5699999999999995E-2</v>
      </c>
      <c r="D16" s="31"/>
      <c r="F16" s="13"/>
      <c r="G16" s="13"/>
      <c r="H16" s="13"/>
      <c r="I16" s="13"/>
      <c r="J16" s="13"/>
      <c r="K16" s="13"/>
      <c r="L16" s="13"/>
    </row>
    <row r="17" spans="1:12" ht="14.25" x14ac:dyDescent="0.2">
      <c r="A17" s="26" t="s">
        <v>114</v>
      </c>
      <c r="B17" s="37" t="s">
        <v>115</v>
      </c>
      <c r="C17" s="30">
        <f>ROUND('3.CAGED'!C26/'3.CAGED'!C23,4)</f>
        <v>8.3299999999999999E-2</v>
      </c>
      <c r="D17" s="31"/>
      <c r="F17" s="13"/>
      <c r="G17" s="13"/>
      <c r="H17" s="13"/>
      <c r="I17" s="13"/>
      <c r="J17" s="13"/>
      <c r="K17" s="13"/>
      <c r="L17" s="13"/>
    </row>
    <row r="18" spans="1:12" ht="14.25" x14ac:dyDescent="0.2">
      <c r="A18" s="26" t="s">
        <v>165</v>
      </c>
      <c r="B18" s="37" t="s">
        <v>117</v>
      </c>
      <c r="C18" s="30">
        <v>5.9999999999999995E-4</v>
      </c>
      <c r="D18" s="31"/>
      <c r="F18" s="13"/>
      <c r="G18" s="13"/>
      <c r="H18" s="13"/>
      <c r="I18" s="13"/>
      <c r="J18" s="13"/>
      <c r="K18" s="13"/>
      <c r="L18" s="13"/>
    </row>
    <row r="19" spans="1:12" ht="14.25" x14ac:dyDescent="0.2">
      <c r="A19" s="26" t="s">
        <v>116</v>
      </c>
      <c r="B19" s="37" t="s">
        <v>119</v>
      </c>
      <c r="C19" s="30">
        <v>8.2000000000000007E-3</v>
      </c>
      <c r="D19" s="31"/>
      <c r="F19" s="13"/>
      <c r="G19" s="13"/>
      <c r="H19" s="13"/>
      <c r="I19" s="13"/>
      <c r="J19" s="13"/>
      <c r="K19" s="13"/>
      <c r="L19" s="13"/>
    </row>
    <row r="20" spans="1:12" ht="14.25" x14ac:dyDescent="0.2">
      <c r="A20" s="26" t="s">
        <v>118</v>
      </c>
      <c r="B20" s="37" t="s">
        <v>121</v>
      </c>
      <c r="C20" s="30">
        <v>3.0999999999999999E-3</v>
      </c>
      <c r="D20" s="31"/>
      <c r="F20" s="13"/>
      <c r="G20" s="13"/>
      <c r="H20" s="13"/>
      <c r="I20" s="13"/>
      <c r="J20" s="13"/>
      <c r="K20" s="13"/>
      <c r="L20" s="13"/>
    </row>
    <row r="21" spans="1:12" ht="14.25" x14ac:dyDescent="0.2">
      <c r="A21" s="26" t="s">
        <v>120</v>
      </c>
      <c r="B21" s="37" t="s">
        <v>122</v>
      </c>
      <c r="C21" s="30">
        <v>1.66E-2</v>
      </c>
      <c r="D21" s="31"/>
      <c r="F21" s="13"/>
      <c r="G21" s="13"/>
      <c r="H21" s="13"/>
      <c r="I21" s="13"/>
      <c r="J21" s="13"/>
      <c r="K21" s="13"/>
      <c r="L21" s="13"/>
    </row>
    <row r="22" spans="1:12" ht="15" x14ac:dyDescent="0.2">
      <c r="A22" s="26" t="s">
        <v>123</v>
      </c>
      <c r="B22" s="32" t="s">
        <v>124</v>
      </c>
      <c r="C22" s="33">
        <f>SUM(C16:C21)</f>
        <v>0.17749999999999999</v>
      </c>
      <c r="D22" s="38"/>
      <c r="F22" s="13"/>
      <c r="G22" s="13"/>
      <c r="H22" s="13"/>
      <c r="I22" s="13"/>
      <c r="J22" s="13"/>
      <c r="K22" s="13"/>
      <c r="L22" s="13"/>
    </row>
    <row r="23" spans="1:12" ht="15" x14ac:dyDescent="0.2">
      <c r="A23" s="34"/>
      <c r="B23" s="35"/>
      <c r="C23" s="36"/>
      <c r="D23" s="38"/>
      <c r="F23" s="13"/>
      <c r="G23" s="13"/>
      <c r="H23" s="13"/>
      <c r="I23" s="13"/>
      <c r="J23" s="13"/>
      <c r="K23" s="13"/>
      <c r="L23" s="13"/>
    </row>
    <row r="24" spans="1:12" ht="14.25" x14ac:dyDescent="0.2">
      <c r="A24" s="26" t="s">
        <v>125</v>
      </c>
      <c r="B24" s="27" t="s">
        <v>126</v>
      </c>
      <c r="C24" s="30">
        <v>2.9000000000000001E-2</v>
      </c>
      <c r="D24" s="31"/>
      <c r="E24" s="39"/>
      <c r="F24" s="13"/>
      <c r="G24" s="13"/>
      <c r="H24" s="13"/>
      <c r="I24" s="13"/>
      <c r="J24" s="13"/>
      <c r="K24" s="13"/>
      <c r="L24" s="13"/>
    </row>
    <row r="25" spans="1:12" ht="14.25" x14ac:dyDescent="0.2">
      <c r="A25" s="26" t="s">
        <v>164</v>
      </c>
      <c r="B25" s="27" t="s">
        <v>128</v>
      </c>
      <c r="C25" s="30">
        <v>4.5400000000000003E-2</v>
      </c>
      <c r="D25" s="31"/>
      <c r="F25" s="13"/>
      <c r="G25" s="13"/>
      <c r="H25" s="40"/>
      <c r="I25" s="13"/>
      <c r="J25" s="13"/>
      <c r="K25" s="13"/>
      <c r="L25" s="13"/>
    </row>
    <row r="26" spans="1:12" ht="14.25" x14ac:dyDescent="0.2">
      <c r="A26" s="26" t="s">
        <v>127</v>
      </c>
      <c r="B26" s="27" t="s">
        <v>130</v>
      </c>
      <c r="C26" s="30">
        <v>1.2999999999999999E-3</v>
      </c>
      <c r="D26" s="31"/>
      <c r="F26" s="13"/>
      <c r="G26" s="13"/>
      <c r="H26" s="13"/>
      <c r="I26" s="13"/>
      <c r="J26" s="13"/>
      <c r="K26" s="13"/>
      <c r="L26" s="13"/>
    </row>
    <row r="27" spans="1:12" ht="14.25" x14ac:dyDescent="0.2">
      <c r="A27" s="26" t="s">
        <v>129</v>
      </c>
      <c r="B27" s="27" t="s">
        <v>132</v>
      </c>
      <c r="C27" s="30">
        <v>3.15E-2</v>
      </c>
      <c r="D27" s="31"/>
      <c r="F27" s="13"/>
      <c r="G27" s="41"/>
      <c r="H27" s="13"/>
      <c r="I27" s="13"/>
      <c r="J27" s="13"/>
      <c r="K27" s="13"/>
      <c r="L27" s="13"/>
    </row>
    <row r="28" spans="1:12" ht="14.25" x14ac:dyDescent="0.2">
      <c r="A28" s="26" t="s">
        <v>131</v>
      </c>
      <c r="B28" s="27" t="s">
        <v>133</v>
      </c>
      <c r="C28" s="30">
        <v>2E-3</v>
      </c>
      <c r="D28" s="31"/>
      <c r="F28" s="13"/>
      <c r="G28" s="13"/>
      <c r="H28" s="13"/>
      <c r="I28" s="13"/>
      <c r="J28" s="13"/>
      <c r="K28" s="13"/>
      <c r="L28" s="13"/>
    </row>
    <row r="29" spans="1:12" ht="15" x14ac:dyDescent="0.2">
      <c r="A29" s="26" t="s">
        <v>134</v>
      </c>
      <c r="B29" s="32" t="s">
        <v>135</v>
      </c>
      <c r="C29" s="33">
        <f>SUM(C24:C28)</f>
        <v>0.10920000000000001</v>
      </c>
      <c r="D29" s="38"/>
      <c r="F29" s="13"/>
      <c r="G29" s="13"/>
      <c r="H29" s="13"/>
      <c r="I29" s="13"/>
      <c r="J29" s="13"/>
      <c r="K29" s="13"/>
      <c r="L29" s="13"/>
    </row>
    <row r="30" spans="1:12" ht="15" x14ac:dyDescent="0.2">
      <c r="A30" s="34"/>
      <c r="B30" s="35"/>
      <c r="C30" s="36"/>
      <c r="D30" s="38"/>
      <c r="F30" s="13"/>
      <c r="G30" s="13"/>
      <c r="H30" s="13"/>
      <c r="I30" s="13"/>
      <c r="J30" s="13"/>
      <c r="K30" s="13"/>
      <c r="L30" s="13"/>
    </row>
    <row r="31" spans="1:12" ht="14.25" x14ac:dyDescent="0.2">
      <c r="A31" s="26" t="s">
        <v>136</v>
      </c>
      <c r="B31" s="27" t="s">
        <v>137</v>
      </c>
      <c r="C31" s="30">
        <f>ROUND(C14*C22,4)</f>
        <v>6.5299999999999997E-2</v>
      </c>
      <c r="D31" s="31"/>
      <c r="F31" s="13"/>
      <c r="G31" s="13"/>
      <c r="H31" s="13"/>
      <c r="I31" s="13"/>
      <c r="J31" s="13"/>
      <c r="K31" s="13"/>
      <c r="L31" s="13"/>
    </row>
    <row r="32" spans="1:12" ht="28.5" x14ac:dyDescent="0.2">
      <c r="A32" s="26" t="s">
        <v>138</v>
      </c>
      <c r="B32" s="42" t="s">
        <v>139</v>
      </c>
      <c r="C32" s="30">
        <v>2.3E-3</v>
      </c>
      <c r="D32" s="31"/>
      <c r="F32" s="13"/>
      <c r="G32" s="13"/>
      <c r="H32" s="13"/>
      <c r="I32" s="13"/>
      <c r="J32" s="13"/>
      <c r="K32" s="13"/>
      <c r="L32" s="13"/>
    </row>
    <row r="33" spans="1:12" ht="15" x14ac:dyDescent="0.2">
      <c r="A33" s="26" t="s">
        <v>140</v>
      </c>
      <c r="B33" s="32" t="s">
        <v>141</v>
      </c>
      <c r="C33" s="33">
        <v>6.7599999999999993E-2</v>
      </c>
      <c r="D33" s="43"/>
      <c r="F33" s="13"/>
      <c r="G33" s="13"/>
      <c r="H33" s="13"/>
      <c r="I33" s="13"/>
      <c r="J33" s="13"/>
      <c r="K33" s="13"/>
      <c r="L33" s="13"/>
    </row>
    <row r="34" spans="1:12" ht="15.75" thickBot="1" x14ac:dyDescent="0.25">
      <c r="A34" s="44"/>
      <c r="B34" s="45" t="s">
        <v>142</v>
      </c>
      <c r="C34" s="46">
        <f>C33+C29+C22+C14</f>
        <v>0.72230000000000005</v>
      </c>
      <c r="D34" s="43"/>
      <c r="F34" s="13"/>
      <c r="G34" s="13"/>
      <c r="H34" s="13"/>
      <c r="I34" s="13"/>
      <c r="J34" s="13"/>
      <c r="K34" s="13"/>
      <c r="L34" s="13"/>
    </row>
    <row r="35" spans="1:12" ht="15" x14ac:dyDescent="0.2">
      <c r="A35" s="31"/>
      <c r="B35" s="47"/>
      <c r="C35" s="48"/>
      <c r="D35" s="49"/>
      <c r="F35" s="13"/>
      <c r="G35" s="13"/>
      <c r="H35" s="13"/>
      <c r="I35" s="13"/>
      <c r="J35" s="13"/>
      <c r="K35" s="13"/>
      <c r="L35" s="13"/>
    </row>
    <row r="36" spans="1:12" ht="14.25" x14ac:dyDescent="0.2">
      <c r="A36" s="31"/>
      <c r="B36" s="31"/>
      <c r="C36" s="50"/>
      <c r="D36" s="51"/>
      <c r="F36" s="13"/>
      <c r="G36" s="13"/>
      <c r="H36" s="13"/>
      <c r="I36" s="13"/>
      <c r="J36" s="13"/>
      <c r="K36" s="13"/>
      <c r="L36" s="13"/>
    </row>
    <row r="37" spans="1:12" ht="14.25" x14ac:dyDescent="0.2">
      <c r="A37" s="29"/>
      <c r="B37" s="29"/>
      <c r="C37" s="52"/>
      <c r="D37" s="29"/>
      <c r="F37" s="13"/>
      <c r="G37" s="13"/>
      <c r="H37" s="13"/>
      <c r="I37" s="13"/>
      <c r="J37" s="13"/>
      <c r="K37" s="13"/>
      <c r="L37" s="13"/>
    </row>
    <row r="38" spans="1:12" ht="14.25" x14ac:dyDescent="0.2">
      <c r="A38" s="29"/>
      <c r="B38" s="29"/>
      <c r="C38" s="52"/>
      <c r="D38" s="29"/>
      <c r="F38" s="13"/>
      <c r="G38" s="13"/>
      <c r="H38" s="13"/>
      <c r="I38" s="13"/>
      <c r="J38" s="13"/>
      <c r="K38" s="13"/>
      <c r="L38" s="13"/>
    </row>
    <row r="39" spans="1:12" ht="14.25" x14ac:dyDescent="0.2">
      <c r="A39" s="29"/>
      <c r="B39" s="29"/>
      <c r="C39" s="52"/>
      <c r="D39" s="29"/>
      <c r="F39" s="13"/>
      <c r="G39" s="13"/>
      <c r="H39" s="13"/>
      <c r="I39" s="13"/>
      <c r="J39" s="13"/>
      <c r="K39" s="13"/>
      <c r="L39" s="13"/>
    </row>
    <row r="40" spans="1:12" ht="15" x14ac:dyDescent="0.2">
      <c r="A40" s="29"/>
      <c r="B40" s="53"/>
      <c r="C40" s="54"/>
      <c r="D40" s="29"/>
      <c r="F40" s="13"/>
      <c r="G40" s="13"/>
      <c r="H40" s="13"/>
      <c r="I40" s="13"/>
      <c r="J40" s="13"/>
      <c r="K40" s="13"/>
      <c r="L40" s="13"/>
    </row>
    <row r="41" spans="1:12" ht="15" x14ac:dyDescent="0.2">
      <c r="A41" s="43"/>
      <c r="B41" s="53"/>
      <c r="C41" s="54"/>
      <c r="D41" s="43"/>
      <c r="E41" s="13"/>
      <c r="F41" s="13"/>
      <c r="G41" s="13"/>
      <c r="H41" s="13"/>
      <c r="I41" s="13"/>
      <c r="J41" s="13"/>
      <c r="K41" s="13"/>
      <c r="L41" s="13"/>
    </row>
    <row r="42" spans="1:12" ht="16.5" x14ac:dyDescent="0.2">
      <c r="A42" s="55"/>
      <c r="B42" s="13"/>
      <c r="C42" s="13"/>
      <c r="E42" s="13"/>
      <c r="F42" s="13"/>
      <c r="G42" s="13"/>
      <c r="H42" s="13"/>
      <c r="I42" s="13"/>
      <c r="J42" s="13"/>
      <c r="K42" s="13"/>
      <c r="L42" s="13"/>
    </row>
    <row r="43" spans="1:12" x14ac:dyDescent="0.2">
      <c r="A43" s="56"/>
      <c r="B43" s="57"/>
      <c r="C43" s="57"/>
      <c r="E43" s="13"/>
      <c r="F43" s="13"/>
      <c r="G43" s="13"/>
      <c r="H43" s="13"/>
      <c r="I43" s="13"/>
      <c r="J43" s="13"/>
      <c r="K43" s="13"/>
      <c r="L43" s="13"/>
    </row>
    <row r="44" spans="1:12" ht="14.25" x14ac:dyDescent="0.2">
      <c r="A44" s="29"/>
      <c r="B44" s="58"/>
      <c r="C44" s="57"/>
      <c r="E44" s="13"/>
      <c r="F44" s="13"/>
      <c r="G44" s="13"/>
      <c r="H44" s="13"/>
      <c r="I44" s="13"/>
      <c r="J44" s="13"/>
      <c r="K44" s="13"/>
      <c r="L44" s="13"/>
    </row>
    <row r="45" spans="1:12" ht="14.25" x14ac:dyDescent="0.2">
      <c r="A45" s="29"/>
      <c r="B45" s="58"/>
      <c r="C45" s="29"/>
      <c r="E45" s="13"/>
      <c r="F45" s="13"/>
      <c r="G45" s="13"/>
      <c r="H45" s="13"/>
      <c r="I45" s="13"/>
      <c r="J45" s="13"/>
      <c r="K45" s="13"/>
      <c r="L45" s="13"/>
    </row>
    <row r="46" spans="1:12" ht="14.25" x14ac:dyDescent="0.2">
      <c r="A46" s="29"/>
      <c r="B46" s="52"/>
      <c r="C46" s="57"/>
      <c r="E46" s="13"/>
      <c r="F46" s="13"/>
      <c r="G46" s="13"/>
      <c r="H46" s="13"/>
      <c r="I46" s="13"/>
      <c r="J46" s="13"/>
      <c r="K46" s="13"/>
      <c r="L46" s="13"/>
    </row>
    <row r="47" spans="1:12" ht="14.25" x14ac:dyDescent="0.2">
      <c r="A47" s="29"/>
      <c r="B47" s="58"/>
      <c r="C47" s="29"/>
      <c r="E47" s="13"/>
      <c r="F47" s="13"/>
      <c r="G47" s="13"/>
      <c r="H47" s="13"/>
      <c r="I47" s="13"/>
      <c r="J47" s="13"/>
      <c r="K47" s="13"/>
      <c r="L47" s="13"/>
    </row>
    <row r="48" spans="1:12" ht="14.25" x14ac:dyDescent="0.2">
      <c r="A48" s="29"/>
      <c r="B48" s="52"/>
      <c r="C48" s="57"/>
      <c r="E48" s="13"/>
      <c r="F48" s="13"/>
      <c r="G48" s="13"/>
      <c r="H48" s="13"/>
      <c r="I48" s="13"/>
      <c r="J48" s="13"/>
      <c r="K48" s="13"/>
      <c r="L48" s="13"/>
    </row>
    <row r="49" spans="1:12" ht="14.25" x14ac:dyDescent="0.2">
      <c r="A49" s="29"/>
      <c r="B49" s="58"/>
      <c r="C49" s="29"/>
      <c r="E49" s="13"/>
      <c r="F49" s="13"/>
      <c r="G49" s="13"/>
      <c r="H49" s="13"/>
      <c r="I49" s="13"/>
      <c r="J49" s="13"/>
      <c r="K49" s="13"/>
      <c r="L49" s="13"/>
    </row>
    <row r="50" spans="1:12" ht="14.25" x14ac:dyDescent="0.2">
      <c r="A50" s="29"/>
      <c r="B50" s="52"/>
      <c r="C50" s="57"/>
      <c r="E50" s="13"/>
      <c r="F50" s="13"/>
      <c r="G50" s="13"/>
      <c r="H50" s="13"/>
      <c r="I50" s="13"/>
      <c r="J50" s="13"/>
      <c r="K50" s="13"/>
      <c r="L50" s="13"/>
    </row>
    <row r="51" spans="1:12" ht="14.25" x14ac:dyDescent="0.2">
      <c r="A51" s="29"/>
      <c r="B51" s="58"/>
      <c r="C51" s="29"/>
      <c r="E51" s="13"/>
      <c r="F51" s="13"/>
      <c r="G51" s="13"/>
      <c r="H51" s="13"/>
      <c r="I51" s="13"/>
      <c r="J51" s="13"/>
      <c r="K51" s="13"/>
      <c r="L51" s="13"/>
    </row>
    <row r="52" spans="1:12" ht="14.25" x14ac:dyDescent="0.2">
      <c r="A52" s="29"/>
      <c r="B52" s="52"/>
      <c r="C52" s="57"/>
      <c r="E52" s="13"/>
      <c r="F52" s="13"/>
      <c r="G52" s="13"/>
      <c r="H52" s="13"/>
      <c r="I52" s="13"/>
      <c r="J52" s="13"/>
      <c r="K52" s="13"/>
      <c r="L52" s="13"/>
    </row>
    <row r="53" spans="1:12" ht="16.5" x14ac:dyDescent="0.2">
      <c r="A53" s="55"/>
      <c r="B53" s="13"/>
      <c r="C53" s="13"/>
      <c r="E53" s="13"/>
      <c r="F53" s="13"/>
      <c r="G53" s="13"/>
      <c r="H53" s="13"/>
      <c r="I53" s="13"/>
      <c r="J53" s="13"/>
      <c r="K53" s="13"/>
      <c r="L53" s="13"/>
    </row>
    <row r="54" spans="1:12" x14ac:dyDescent="0.2">
      <c r="A54" s="13"/>
      <c r="B54" s="13"/>
      <c r="C54" s="13"/>
      <c r="E54" s="13"/>
      <c r="F54" s="13"/>
      <c r="G54" s="13"/>
      <c r="H54" s="13"/>
      <c r="I54" s="13"/>
      <c r="J54" s="13"/>
      <c r="K54" s="13"/>
      <c r="L54" s="13"/>
    </row>
    <row r="55" spans="1:12" x14ac:dyDescent="0.2">
      <c r="A55" s="13"/>
      <c r="B55" s="13"/>
      <c r="C55" s="13"/>
      <c r="E55" s="13"/>
      <c r="F55" s="13"/>
      <c r="G55" s="13"/>
      <c r="H55" s="13"/>
      <c r="I55" s="13"/>
      <c r="J55" s="13"/>
      <c r="K55" s="13"/>
      <c r="L55" s="13"/>
    </row>
    <row r="56" spans="1:12" x14ac:dyDescent="0.2">
      <c r="A56" s="59"/>
      <c r="B56" s="13"/>
      <c r="C56" s="13"/>
      <c r="E56" s="13"/>
      <c r="F56" s="13"/>
      <c r="G56" s="13"/>
      <c r="H56" s="13"/>
      <c r="I56" s="13"/>
      <c r="J56" s="13"/>
      <c r="K56" s="13"/>
      <c r="L56" s="13"/>
    </row>
    <row r="57" spans="1:12" x14ac:dyDescent="0.2">
      <c r="A57" s="13"/>
      <c r="B57" s="13"/>
      <c r="C57" s="13"/>
      <c r="E57" s="13"/>
    </row>
    <row r="58" spans="1:12" x14ac:dyDescent="0.2">
      <c r="A58" s="13"/>
      <c r="B58" s="13"/>
      <c r="C58" s="13"/>
      <c r="E58" s="13"/>
    </row>
    <row r="59" spans="1:12" x14ac:dyDescent="0.2">
      <c r="A59" s="13"/>
      <c r="B59" s="13"/>
      <c r="C59" s="13"/>
      <c r="E59" s="13"/>
    </row>
    <row r="60" spans="1:12" x14ac:dyDescent="0.2">
      <c r="A60" s="13"/>
      <c r="B60" s="13"/>
      <c r="C60" s="13"/>
      <c r="E60" s="13"/>
    </row>
    <row r="61" spans="1:12" x14ac:dyDescent="0.2">
      <c r="A61" s="13"/>
      <c r="B61" s="13"/>
      <c r="C61" s="13"/>
      <c r="E61" s="13"/>
    </row>
    <row r="62" spans="1:12" x14ac:dyDescent="0.2">
      <c r="A62" s="13"/>
      <c r="B62" s="13"/>
      <c r="C62" s="13"/>
      <c r="E62" s="13"/>
    </row>
    <row r="63" spans="1:12" x14ac:dyDescent="0.2">
      <c r="A63" s="13"/>
      <c r="B63" s="13"/>
      <c r="C63" s="13"/>
      <c r="E63" s="13"/>
    </row>
    <row r="64" spans="1:12" x14ac:dyDescent="0.2">
      <c r="A64" s="13"/>
      <c r="B64" s="13"/>
      <c r="C64" s="13"/>
      <c r="E64" s="13"/>
    </row>
    <row r="65" spans="1:5" x14ac:dyDescent="0.2">
      <c r="A65" s="13"/>
      <c r="B65" s="13"/>
      <c r="C65" s="13"/>
      <c r="E65" s="13"/>
    </row>
  </sheetData>
  <mergeCells count="1">
    <mergeCell ref="A4:C4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4"/>
  <sheetViews>
    <sheetView topLeftCell="A19" zoomScaleNormal="100" workbookViewId="0">
      <selection activeCell="C9" sqref="A3:C9"/>
    </sheetView>
  </sheetViews>
  <sheetFormatPr defaultRowHeight="12.75" x14ac:dyDescent="0.2"/>
  <cols>
    <col min="1" max="1" width="8.5703125" style="1" customWidth="1"/>
    <col min="2" max="2" width="67.140625" style="1" customWidth="1"/>
    <col min="3" max="3" width="13.7109375" style="1" customWidth="1"/>
    <col min="4" max="4" width="10.28515625" style="1" hidden="1" customWidth="1"/>
    <col min="5" max="5" width="13.7109375" style="1" hidden="1" customWidth="1"/>
    <col min="6" max="6" width="14.42578125" style="1" hidden="1" customWidth="1"/>
    <col min="7" max="7" width="12.7109375" style="1" hidden="1" customWidth="1"/>
    <col min="8" max="8" width="4.42578125" style="1" hidden="1" customWidth="1"/>
    <col min="9" max="9" width="6.85546875" style="1" hidden="1" customWidth="1"/>
    <col min="10" max="10" width="3.28515625" style="1" hidden="1" customWidth="1"/>
    <col min="11" max="11" width="0" style="1" hidden="1" customWidth="1"/>
    <col min="12" max="16384" width="9.140625" style="1"/>
  </cols>
  <sheetData>
    <row r="1" spans="1:3" x14ac:dyDescent="0.2">
      <c r="A1" s="4" t="s">
        <v>178</v>
      </c>
    </row>
    <row r="3" spans="1:3" ht="13.5" thickBot="1" x14ac:dyDescent="0.25"/>
    <row r="4" spans="1:3" ht="18" x14ac:dyDescent="0.25">
      <c r="B4" s="308" t="s">
        <v>169</v>
      </c>
      <c r="C4" s="309"/>
    </row>
    <row r="5" spans="1:3" ht="15" x14ac:dyDescent="0.25">
      <c r="A5" s="13"/>
      <c r="B5" s="12" t="s">
        <v>155</v>
      </c>
      <c r="C5" s="60"/>
    </row>
    <row r="6" spans="1:3" ht="15" x14ac:dyDescent="0.25">
      <c r="A6" s="13"/>
      <c r="B6" s="14" t="s">
        <v>74</v>
      </c>
      <c r="C6" s="15">
        <v>2486</v>
      </c>
    </row>
    <row r="7" spans="1:3" ht="15" x14ac:dyDescent="0.25">
      <c r="A7" s="13"/>
      <c r="B7" s="16" t="s">
        <v>75</v>
      </c>
      <c r="C7" s="15">
        <v>3303</v>
      </c>
    </row>
    <row r="8" spans="1:3" ht="14.25" x14ac:dyDescent="0.2">
      <c r="A8" s="13"/>
      <c r="B8" s="61" t="s">
        <v>76</v>
      </c>
      <c r="C8" s="62">
        <v>81</v>
      </c>
    </row>
    <row r="9" spans="1:3" ht="14.25" x14ac:dyDescent="0.2">
      <c r="A9" s="13"/>
      <c r="B9" s="61" t="s">
        <v>77</v>
      </c>
      <c r="C9" s="62">
        <v>2336</v>
      </c>
    </row>
    <row r="10" spans="1:3" ht="14.25" x14ac:dyDescent="0.2">
      <c r="A10" s="13"/>
      <c r="B10" s="61" t="s">
        <v>78</v>
      </c>
      <c r="C10" s="62">
        <v>342</v>
      </c>
    </row>
    <row r="11" spans="1:3" ht="14.25" x14ac:dyDescent="0.2">
      <c r="A11" s="13"/>
      <c r="B11" s="61" t="s">
        <v>79</v>
      </c>
      <c r="C11" s="62">
        <v>18</v>
      </c>
    </row>
    <row r="12" spans="1:3" ht="14.25" x14ac:dyDescent="0.2">
      <c r="A12" s="13"/>
      <c r="B12" s="61" t="s">
        <v>80</v>
      </c>
      <c r="C12" s="62">
        <v>500</v>
      </c>
    </row>
    <row r="13" spans="1:3" ht="14.25" x14ac:dyDescent="0.2">
      <c r="A13" s="13"/>
      <c r="B13" s="61" t="s">
        <v>81</v>
      </c>
      <c r="C13" s="62">
        <v>1</v>
      </c>
    </row>
    <row r="14" spans="1:3" ht="14.25" x14ac:dyDescent="0.2">
      <c r="A14" s="13"/>
      <c r="B14" s="61" t="s">
        <v>82</v>
      </c>
      <c r="C14" s="62">
        <v>25</v>
      </c>
    </row>
    <row r="15" spans="1:3" ht="14.25" x14ac:dyDescent="0.2">
      <c r="A15" s="13"/>
      <c r="B15" s="63" t="s">
        <v>83</v>
      </c>
      <c r="C15" s="64">
        <v>0</v>
      </c>
    </row>
    <row r="16" spans="1:3" ht="15" x14ac:dyDescent="0.25">
      <c r="A16" s="13" t="s">
        <v>84</v>
      </c>
      <c r="B16" s="12" t="s">
        <v>85</v>
      </c>
      <c r="C16" s="60"/>
    </row>
    <row r="17" spans="1:11" ht="14.25" x14ac:dyDescent="0.2">
      <c r="A17" s="13"/>
      <c r="B17" s="65" t="s">
        <v>188</v>
      </c>
      <c r="C17" s="66">
        <v>6400</v>
      </c>
    </row>
    <row r="18" spans="1:11" ht="14.25" x14ac:dyDescent="0.2">
      <c r="A18" s="13"/>
      <c r="B18" s="61" t="s">
        <v>189</v>
      </c>
      <c r="C18" s="62">
        <v>5583</v>
      </c>
    </row>
    <row r="19" spans="1:11" ht="14.25" x14ac:dyDescent="0.2">
      <c r="B19" s="61" t="s">
        <v>190</v>
      </c>
      <c r="C19" s="62">
        <v>-817</v>
      </c>
    </row>
    <row r="20" spans="1:11" ht="14.25" x14ac:dyDescent="0.2">
      <c r="B20" s="67"/>
      <c r="C20" s="68"/>
    </row>
    <row r="21" spans="1:11" ht="15" x14ac:dyDescent="0.25">
      <c r="B21" s="17" t="s">
        <v>86</v>
      </c>
      <c r="C21" s="113">
        <f>MEDIAN(C6,C7)/MEDIAN(C17,C18)</f>
        <v>0.48310105983476592</v>
      </c>
      <c r="G21" s="1">
        <f>12/C21</f>
        <v>24.839523233719124</v>
      </c>
    </row>
    <row r="22" spans="1:11" ht="15" x14ac:dyDescent="0.25">
      <c r="B22" s="14" t="s">
        <v>87</v>
      </c>
      <c r="C22" s="113">
        <f>C9/MEDIAN(C17,C18)</f>
        <v>0.38988567136777103</v>
      </c>
    </row>
    <row r="23" spans="1:11" ht="15" x14ac:dyDescent="0.25">
      <c r="B23" s="19" t="s">
        <v>88</v>
      </c>
      <c r="C23" s="18">
        <v>360</v>
      </c>
    </row>
    <row r="24" spans="1:11" ht="15" x14ac:dyDescent="0.25">
      <c r="B24" s="14" t="s">
        <v>179</v>
      </c>
      <c r="C24" s="18">
        <v>10</v>
      </c>
    </row>
    <row r="25" spans="1:11" ht="15" x14ac:dyDescent="0.25">
      <c r="B25" s="14" t="s">
        <v>180</v>
      </c>
      <c r="C25" s="18">
        <v>30</v>
      </c>
      <c r="G25" s="1">
        <f>TRUNC(G30)</f>
        <v>0</v>
      </c>
    </row>
    <row r="26" spans="1:11" ht="15" x14ac:dyDescent="0.25">
      <c r="B26" s="14" t="s">
        <v>181</v>
      </c>
      <c r="C26" s="18">
        <v>30</v>
      </c>
    </row>
    <row r="27" spans="1:11" s="4" customFormat="1" ht="15" x14ac:dyDescent="0.25">
      <c r="B27" s="14" t="s">
        <v>89</v>
      </c>
      <c r="C27" s="69">
        <f>MEDIAN(C17,C18)</f>
        <v>5991.5</v>
      </c>
    </row>
    <row r="28" spans="1:11" s="4" customFormat="1" ht="15" x14ac:dyDescent="0.25">
      <c r="B28" s="14" t="s">
        <v>25</v>
      </c>
      <c r="C28" s="70">
        <v>0.08</v>
      </c>
      <c r="K28" s="4">
        <f>IF(C32&gt;12,C32-12,C32)</f>
        <v>12.839523233719124</v>
      </c>
    </row>
    <row r="29" spans="1:11" s="4" customFormat="1" ht="15" x14ac:dyDescent="0.25">
      <c r="B29" s="14" t="s">
        <v>90</v>
      </c>
      <c r="C29" s="70">
        <v>0.5</v>
      </c>
      <c r="K29" s="4" t="e">
        <f>IF(#REF!&gt;12,#REF!-12,#REF!)</f>
        <v>#REF!</v>
      </c>
    </row>
    <row r="30" spans="1:11" s="4" customFormat="1" ht="15" x14ac:dyDescent="0.25">
      <c r="B30" s="14" t="s">
        <v>91</v>
      </c>
      <c r="C30" s="114">
        <f>((1/C21)-TRUNC(E30))</f>
        <v>6.9960269476593506E-2</v>
      </c>
      <c r="D30" s="4">
        <f>TRUNC(E30)</f>
        <v>2</v>
      </c>
      <c r="E30" s="4">
        <f>1/C21</f>
        <v>2.0699602694765935</v>
      </c>
      <c r="F30" s="4">
        <f>((1/C21)-TRUNC(E30))</f>
        <v>6.9960269476593506E-2</v>
      </c>
      <c r="G30" s="4">
        <f>12*F30</f>
        <v>0.83952323371912208</v>
      </c>
      <c r="K30" s="4" t="e">
        <f>IF(#REF!&gt;12,#REF!-12,#REF!)</f>
        <v>#REF!</v>
      </c>
    </row>
    <row r="31" spans="1:11" s="4" customFormat="1" ht="15" x14ac:dyDescent="0.25">
      <c r="B31" s="12" t="s">
        <v>92</v>
      </c>
      <c r="C31" s="20">
        <f>30+D31</f>
        <v>36</v>
      </c>
      <c r="D31" s="4">
        <f>3*D30</f>
        <v>6</v>
      </c>
      <c r="G31" s="4">
        <f>G30/12*40/360</f>
        <v>7.7733632751770566E-3</v>
      </c>
      <c r="K31" s="4" t="e">
        <f>IF(#REF!&gt;12,#REF!-12,#REF!)</f>
        <v>#REF!</v>
      </c>
    </row>
    <row r="32" spans="1:11" s="4" customFormat="1" ht="15.75" thickBot="1" x14ac:dyDescent="0.3">
      <c r="B32" s="21" t="s">
        <v>183</v>
      </c>
      <c r="C32" s="115">
        <f>12/C21</f>
        <v>24.839523233719124</v>
      </c>
      <c r="K32" s="4" t="e">
        <f>IF(#REF!&gt;12,#REF!-12,#REF!)</f>
        <v>#REF!</v>
      </c>
    </row>
    <row r="33" spans="11:11" x14ac:dyDescent="0.2">
      <c r="K33" s="1" t="e">
        <f t="shared" ref="K33:K34" si="0">IF(K32&gt;12,K32-12,K32)</f>
        <v>#REF!</v>
      </c>
    </row>
    <row r="34" spans="11:11" x14ac:dyDescent="0.2">
      <c r="K34" s="1" t="e">
        <f t="shared" si="0"/>
        <v>#REF!</v>
      </c>
    </row>
  </sheetData>
  <mergeCells count="1">
    <mergeCell ref="B4:C4"/>
  </mergeCells>
  <pageMargins left="0.90551181102362199" right="0.51181102362204722" top="0.74803149606299213" bottom="0.74803149606299213" header="0.31496062992125984" footer="0.31496062992125984"/>
  <pageSetup paperSize="9" scale="98" orientation="portrait" verticalDpi="597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2"/>
  <sheetViews>
    <sheetView zoomScaleNormal="100" workbookViewId="0">
      <selection activeCell="E13" sqref="E13"/>
    </sheetView>
  </sheetViews>
  <sheetFormatPr defaultRowHeight="12.75" x14ac:dyDescent="0.2"/>
  <cols>
    <col min="1" max="1" width="41.85546875" bestFit="1" customWidth="1"/>
    <col min="2" max="2" width="5.5703125" bestFit="1" customWidth="1"/>
    <col min="4" max="4" width="9.7109375" bestFit="1" customWidth="1"/>
    <col min="5" max="5" width="8" style="5" bestFit="1" customWidth="1"/>
    <col min="6" max="6" width="9.7109375" bestFit="1" customWidth="1"/>
  </cols>
  <sheetData>
    <row r="1" spans="1:8" s="9" customFormat="1" ht="14.25" x14ac:dyDescent="0.2">
      <c r="A1" s="3"/>
      <c r="B1" s="7"/>
      <c r="C1" s="7"/>
      <c r="E1" s="10"/>
    </row>
    <row r="2" spans="1:8" s="9" customFormat="1" ht="14.25" x14ac:dyDescent="0.2">
      <c r="A2" s="6"/>
      <c r="B2" s="7"/>
      <c r="C2" s="7"/>
      <c r="E2" s="10"/>
    </row>
    <row r="3" spans="1:8" s="9" customFormat="1" ht="14.25" x14ac:dyDescent="0.2">
      <c r="A3" s="2"/>
      <c r="B3" s="7"/>
      <c r="C3" s="7"/>
      <c r="E3" s="10"/>
    </row>
    <row r="4" spans="1:8" s="9" customFormat="1" ht="14.25" x14ac:dyDescent="0.2">
      <c r="A4" s="6"/>
      <c r="B4" s="7"/>
      <c r="C4" s="7"/>
      <c r="E4" s="10"/>
    </row>
    <row r="5" spans="1:8" s="9" customFormat="1" ht="15" thickBot="1" x14ac:dyDescent="0.25">
      <c r="B5" s="7"/>
      <c r="C5" s="7"/>
      <c r="E5" s="10"/>
    </row>
    <row r="6" spans="1:8" ht="15.75" x14ac:dyDescent="0.2">
      <c r="A6" s="315" t="s">
        <v>170</v>
      </c>
      <c r="B6" s="316"/>
      <c r="C6" s="316"/>
      <c r="D6" s="316"/>
      <c r="E6" s="316"/>
      <c r="F6" s="317"/>
    </row>
    <row r="7" spans="1:8" ht="16.5" thickBot="1" x14ac:dyDescent="0.25">
      <c r="A7" s="108"/>
      <c r="B7" s="109"/>
      <c r="C7" s="109"/>
      <c r="D7" s="109"/>
      <c r="E7" s="109"/>
      <c r="F7" s="110"/>
    </row>
    <row r="8" spans="1:8" ht="15" x14ac:dyDescent="0.25">
      <c r="A8" s="71"/>
      <c r="B8" s="8"/>
      <c r="C8" s="8"/>
      <c r="D8" s="312" t="s">
        <v>182</v>
      </c>
      <c r="E8" s="313"/>
      <c r="F8" s="314"/>
      <c r="G8" s="9"/>
      <c r="H8" s="9"/>
    </row>
    <row r="9" spans="1:8" ht="15" thickBot="1" x14ac:dyDescent="0.25">
      <c r="A9" s="67"/>
      <c r="B9" s="72"/>
      <c r="C9" s="72"/>
      <c r="D9" s="73" t="s">
        <v>143</v>
      </c>
      <c r="E9" s="74" t="s">
        <v>144</v>
      </c>
      <c r="F9" s="75" t="s">
        <v>145</v>
      </c>
      <c r="G9" s="9"/>
      <c r="H9" s="9"/>
    </row>
    <row r="10" spans="1:8" ht="14.25" x14ac:dyDescent="0.2">
      <c r="A10" s="76" t="s">
        <v>47</v>
      </c>
      <c r="B10" s="77" t="s">
        <v>48</v>
      </c>
      <c r="C10" s="78"/>
      <c r="D10" s="98">
        <v>2.9700000000000001E-2</v>
      </c>
      <c r="E10" s="99">
        <v>5.0799999999999998E-2</v>
      </c>
      <c r="F10" s="100">
        <v>6.2700000000000006E-2</v>
      </c>
      <c r="G10" s="9"/>
      <c r="H10" s="9"/>
    </row>
    <row r="11" spans="1:8" ht="14.25" x14ac:dyDescent="0.2">
      <c r="A11" s="80" t="s">
        <v>49</v>
      </c>
      <c r="B11" s="81" t="s">
        <v>50</v>
      </c>
      <c r="C11" s="82"/>
      <c r="D11" s="98">
        <f>0.3%+0.56%</f>
        <v>8.6E-3</v>
      </c>
      <c r="E11" s="99">
        <f>0.48%+0.85%</f>
        <v>1.3299999999999999E-2</v>
      </c>
      <c r="F11" s="100">
        <f>0.82%+0.89%</f>
        <v>1.7099999999999997E-2</v>
      </c>
      <c r="G11" s="9"/>
      <c r="H11" s="9"/>
    </row>
    <row r="12" spans="1:8" ht="14.25" x14ac:dyDescent="0.2">
      <c r="A12" s="80" t="s">
        <v>234</v>
      </c>
      <c r="B12" s="81" t="s">
        <v>208</v>
      </c>
      <c r="C12" s="82"/>
      <c r="D12" s="98">
        <v>7.7799999999999994E-2</v>
      </c>
      <c r="E12" s="99">
        <v>0.1085</v>
      </c>
      <c r="F12" s="100">
        <v>0.13550000000000001</v>
      </c>
      <c r="G12" s="9"/>
      <c r="H12" s="9"/>
    </row>
    <row r="13" spans="1:8" ht="14.25" x14ac:dyDescent="0.2">
      <c r="A13" s="80" t="s">
        <v>51</v>
      </c>
      <c r="B13" s="81" t="s">
        <v>52</v>
      </c>
      <c r="C13" s="288">
        <f>(1+E13)^(E14/252)-1</f>
        <v>0</v>
      </c>
      <c r="D13" s="98" t="s">
        <v>191</v>
      </c>
      <c r="E13" s="83"/>
      <c r="F13" s="79"/>
      <c r="G13" s="9"/>
      <c r="H13" s="9"/>
    </row>
    <row r="14" spans="1:8" ht="14.25" x14ac:dyDescent="0.2">
      <c r="A14" s="80" t="s">
        <v>53</v>
      </c>
      <c r="B14" s="310" t="s">
        <v>54</v>
      </c>
      <c r="C14" s="82"/>
      <c r="D14" s="116" t="s">
        <v>146</v>
      </c>
      <c r="E14" s="84">
        <v>12</v>
      </c>
      <c r="F14" s="85"/>
      <c r="G14" s="9"/>
      <c r="H14" s="9"/>
    </row>
    <row r="15" spans="1:8" ht="15" thickBot="1" x14ac:dyDescent="0.25">
      <c r="A15" s="86" t="s">
        <v>55</v>
      </c>
      <c r="B15" s="311"/>
      <c r="C15" s="87"/>
      <c r="D15" s="61"/>
      <c r="E15" s="88"/>
      <c r="F15" s="85"/>
      <c r="G15" s="9"/>
      <c r="H15" s="9"/>
    </row>
    <row r="16" spans="1:8" ht="14.25" x14ac:dyDescent="0.2">
      <c r="A16" s="89" t="s">
        <v>56</v>
      </c>
      <c r="B16" s="90"/>
      <c r="C16" s="91"/>
      <c r="D16" s="61"/>
      <c r="E16" s="88"/>
      <c r="F16" s="85"/>
      <c r="G16" s="9"/>
      <c r="H16" s="9"/>
    </row>
    <row r="17" spans="1:8" ht="15" thickBot="1" x14ac:dyDescent="0.25">
      <c r="A17" s="92" t="s">
        <v>57</v>
      </c>
      <c r="B17" s="93"/>
      <c r="C17" s="94"/>
      <c r="D17" s="61"/>
      <c r="E17" s="88"/>
      <c r="F17" s="85"/>
      <c r="G17" s="9"/>
      <c r="H17" s="9"/>
    </row>
    <row r="18" spans="1:8" ht="15.75" thickBot="1" x14ac:dyDescent="0.25">
      <c r="A18" s="95" t="s">
        <v>58</v>
      </c>
      <c r="B18" s="96"/>
      <c r="C18" s="97">
        <f>ROUND((((1+C10+C11)*(1+C12)*(1+C13))/(1-(C14+C15))-1),4)</f>
        <v>0</v>
      </c>
      <c r="D18" s="101">
        <v>0.21429999999999999</v>
      </c>
      <c r="E18" s="102">
        <v>0.2717</v>
      </c>
      <c r="F18" s="103">
        <v>0.3362</v>
      </c>
      <c r="G18" s="9"/>
      <c r="H18" s="9"/>
    </row>
    <row r="19" spans="1:8" ht="14.25" x14ac:dyDescent="0.2">
      <c r="A19" s="9"/>
      <c r="B19" s="9"/>
      <c r="C19" s="9"/>
      <c r="D19" s="9"/>
      <c r="E19" s="10"/>
      <c r="F19" s="9"/>
      <c r="G19" s="9"/>
      <c r="H19" s="9"/>
    </row>
    <row r="20" spans="1:8" ht="14.25" x14ac:dyDescent="0.2">
      <c r="A20" s="9"/>
      <c r="B20" s="9"/>
      <c r="C20" s="9"/>
      <c r="D20" s="9"/>
      <c r="E20" s="10"/>
      <c r="F20" s="9"/>
      <c r="G20" s="9"/>
      <c r="H20" s="9"/>
    </row>
    <row r="21" spans="1:8" ht="14.25" x14ac:dyDescent="0.2">
      <c r="A21" s="9"/>
      <c r="B21" s="9"/>
      <c r="C21" s="9"/>
      <c r="D21" s="9"/>
      <c r="E21" s="10"/>
      <c r="F21" s="9"/>
      <c r="G21" s="9"/>
      <c r="H21" s="9"/>
    </row>
    <row r="22" spans="1:8" ht="14.25" x14ac:dyDescent="0.2">
      <c r="A22" s="9"/>
      <c r="B22" s="9"/>
      <c r="C22" s="9"/>
      <c r="D22" s="9"/>
      <c r="E22" s="10"/>
      <c r="F22" s="9"/>
      <c r="G22" s="9"/>
      <c r="H22" s="9"/>
    </row>
  </sheetData>
  <mergeCells count="3">
    <mergeCell ref="B14:B15"/>
    <mergeCell ref="D8:F8"/>
    <mergeCell ref="A6:F6"/>
  </mergeCells>
  <pageMargins left="0.90551181102362199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4" workbookViewId="0">
      <selection activeCell="G20" sqref="G20:G21"/>
    </sheetView>
  </sheetViews>
  <sheetFormatPr defaultRowHeight="19.5" customHeight="1" x14ac:dyDescent="0.2"/>
  <cols>
    <col min="1" max="1" width="24.5703125" style="1" customWidth="1"/>
    <col min="2" max="2" width="20.85546875" style="1" customWidth="1"/>
    <col min="3" max="16384" width="9.140625" style="1"/>
  </cols>
  <sheetData>
    <row r="1" spans="1:2" ht="19.5" customHeight="1" thickBot="1" x14ac:dyDescent="0.25">
      <c r="A1" s="318" t="s">
        <v>172</v>
      </c>
      <c r="B1" s="319"/>
    </row>
    <row r="2" spans="1:2" s="4" customFormat="1" ht="19.5" customHeight="1" x14ac:dyDescent="0.2">
      <c r="A2" s="111" t="s">
        <v>156</v>
      </c>
      <c r="B2" s="112" t="s">
        <v>192</v>
      </c>
    </row>
    <row r="3" spans="1:2" ht="19.5" customHeight="1" x14ac:dyDescent="0.2">
      <c r="A3" s="23">
        <v>1</v>
      </c>
      <c r="B3" s="22">
        <v>33.629999999999995</v>
      </c>
    </row>
    <row r="4" spans="1:2" ht="19.5" customHeight="1" x14ac:dyDescent="0.2">
      <c r="A4" s="23">
        <v>2</v>
      </c>
      <c r="B4" s="22">
        <v>43.13</v>
      </c>
    </row>
    <row r="5" spans="1:2" ht="19.5" customHeight="1" x14ac:dyDescent="0.2">
      <c r="A5" s="23">
        <v>3</v>
      </c>
      <c r="B5" s="22">
        <v>48.68</v>
      </c>
    </row>
    <row r="6" spans="1:2" ht="19.5" customHeight="1" x14ac:dyDescent="0.2">
      <c r="A6" s="23">
        <v>4</v>
      </c>
      <c r="B6" s="22">
        <v>52.62</v>
      </c>
    </row>
    <row r="7" spans="1:2" ht="19.5" customHeight="1" x14ac:dyDescent="0.2">
      <c r="A7" s="23">
        <v>5</v>
      </c>
      <c r="B7" s="22">
        <v>55.679999999999993</v>
      </c>
    </row>
    <row r="8" spans="1:2" ht="19.5" customHeight="1" x14ac:dyDescent="0.2">
      <c r="A8" s="23">
        <v>6</v>
      </c>
      <c r="B8" s="22">
        <v>58.18</v>
      </c>
    </row>
    <row r="9" spans="1:2" ht="19.5" customHeight="1" x14ac:dyDescent="0.2">
      <c r="A9" s="23">
        <v>7</v>
      </c>
      <c r="B9" s="22">
        <v>60.29</v>
      </c>
    </row>
    <row r="10" spans="1:2" ht="19.5" customHeight="1" x14ac:dyDescent="0.2">
      <c r="A10" s="23">
        <v>8</v>
      </c>
      <c r="B10" s="22">
        <v>62.12</v>
      </c>
    </row>
    <row r="11" spans="1:2" ht="19.5" customHeight="1" x14ac:dyDescent="0.2">
      <c r="A11" s="23">
        <v>9</v>
      </c>
      <c r="B11" s="22">
        <v>63.73</v>
      </c>
    </row>
    <row r="12" spans="1:2" ht="19.5" customHeight="1" x14ac:dyDescent="0.2">
      <c r="A12" s="23">
        <v>10</v>
      </c>
      <c r="B12" s="22">
        <v>65.180000000000007</v>
      </c>
    </row>
    <row r="13" spans="1:2" ht="19.5" customHeight="1" x14ac:dyDescent="0.2">
      <c r="A13" s="23">
        <v>11</v>
      </c>
      <c r="B13" s="22">
        <v>66.47999999999999</v>
      </c>
    </row>
    <row r="14" spans="1:2" ht="19.5" customHeight="1" x14ac:dyDescent="0.2">
      <c r="A14" s="23">
        <v>12</v>
      </c>
      <c r="B14" s="22">
        <v>67.67</v>
      </c>
    </row>
    <row r="15" spans="1:2" ht="19.5" customHeight="1" x14ac:dyDescent="0.2">
      <c r="A15" s="23">
        <v>13</v>
      </c>
      <c r="B15" s="22">
        <v>68.77</v>
      </c>
    </row>
    <row r="16" spans="1:2" ht="19.5" customHeight="1" x14ac:dyDescent="0.2">
      <c r="A16" s="23">
        <v>14</v>
      </c>
      <c r="B16" s="22">
        <v>69.789999999999992</v>
      </c>
    </row>
    <row r="17" spans="1:2" ht="19.5" customHeight="1" thickBot="1" x14ac:dyDescent="0.25">
      <c r="A17" s="24">
        <v>15</v>
      </c>
      <c r="B17" s="25">
        <v>70.73</v>
      </c>
    </row>
  </sheetData>
  <mergeCells count="1">
    <mergeCell ref="A1:B1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/>
  </sheetViews>
  <sheetFormatPr defaultRowHeight="12.75" x14ac:dyDescent="0.2"/>
  <cols>
    <col min="1" max="1" width="70.42578125" style="1" customWidth="1"/>
    <col min="2" max="3" width="9.140625" style="1"/>
    <col min="4" max="4" width="12.85546875" style="1" bestFit="1" customWidth="1"/>
    <col min="5" max="16384" width="9.140625" style="1"/>
  </cols>
  <sheetData>
    <row r="1" spans="1:1" ht="18" x14ac:dyDescent="0.25">
      <c r="A1" s="107" t="s">
        <v>176</v>
      </c>
    </row>
    <row r="2" spans="1:1" x14ac:dyDescent="0.2">
      <c r="A2" s="104"/>
    </row>
    <row r="3" spans="1:1" x14ac:dyDescent="0.2">
      <c r="A3" s="104" t="s">
        <v>184</v>
      </c>
    </row>
    <row r="4" spans="1:1" x14ac:dyDescent="0.2">
      <c r="A4" s="104"/>
    </row>
    <row r="5" spans="1:1" x14ac:dyDescent="0.2">
      <c r="A5" s="104"/>
    </row>
    <row r="6" spans="1:1" x14ac:dyDescent="0.2">
      <c r="A6" s="104"/>
    </row>
    <row r="7" spans="1:1" x14ac:dyDescent="0.2">
      <c r="A7" s="104"/>
    </row>
    <row r="8" spans="1:1" x14ac:dyDescent="0.2">
      <c r="A8" s="104"/>
    </row>
    <row r="9" spans="1:1" x14ac:dyDescent="0.2">
      <c r="A9" s="104"/>
    </row>
    <row r="10" spans="1:1" x14ac:dyDescent="0.2">
      <c r="A10" s="104"/>
    </row>
    <row r="11" spans="1:1" x14ac:dyDescent="0.2">
      <c r="A11" s="104"/>
    </row>
    <row r="12" spans="1:1" ht="19.5" x14ac:dyDescent="0.35">
      <c r="A12" s="105" t="s">
        <v>173</v>
      </c>
    </row>
    <row r="13" spans="1:1" ht="15" x14ac:dyDescent="0.2">
      <c r="A13" s="105" t="s">
        <v>67</v>
      </c>
    </row>
    <row r="14" spans="1:1" ht="15" x14ac:dyDescent="0.2">
      <c r="A14" s="105" t="s">
        <v>70</v>
      </c>
    </row>
    <row r="15" spans="1:1" ht="19.5" x14ac:dyDescent="0.35">
      <c r="A15" s="105" t="s">
        <v>174</v>
      </c>
    </row>
    <row r="16" spans="1:1" ht="19.5" x14ac:dyDescent="0.35">
      <c r="A16" s="105" t="s">
        <v>175</v>
      </c>
    </row>
    <row r="17" spans="1:1" ht="15.75" thickBot="1" x14ac:dyDescent="0.25">
      <c r="A17" s="106" t="s">
        <v>68</v>
      </c>
    </row>
  </sheetData>
  <pageMargins left="0.90551181102362199" right="0.51181102362204722" top="0.74803149606299213" bottom="0.74803149606299213" header="0.31496062992125984" footer="0.31496062992125984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1. Coleta Seletiva</vt:lpstr>
      <vt:lpstr>2.Encargos Sociais</vt:lpstr>
      <vt:lpstr>3.CAGED</vt:lpstr>
      <vt:lpstr>4.BDI</vt:lpstr>
      <vt:lpstr>5. Depreciação</vt:lpstr>
      <vt:lpstr>6.Remuneração de capital</vt:lpstr>
      <vt:lpstr>AbaDeprec</vt:lpstr>
      <vt:lpstr>AbaRemun</vt:lpstr>
      <vt:lpstr>'1. Coleta Seletiva'!Area_de_impressao</vt:lpstr>
      <vt:lpstr>'2.Encargos Sociais'!Area_de_impressao</vt:lpstr>
    </vt:vector>
  </TitlesOfParts>
  <Company>dmlu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pmsap</cp:lastModifiedBy>
  <cp:lastPrinted>2019-09-06T12:22:54Z</cp:lastPrinted>
  <dcterms:created xsi:type="dcterms:W3CDTF">2000-12-13T10:02:50Z</dcterms:created>
  <dcterms:modified xsi:type="dcterms:W3CDTF">2019-12-05T18:32:31Z</dcterms:modified>
</cp:coreProperties>
</file>