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815" yWindow="0" windowWidth="11910" windowHeight="9255" tabRatio="802" activeTab="3"/>
  </bookViews>
  <sheets>
    <sheet name="1. Triagem e Transbordo" sheetId="2" r:id="rId1"/>
    <sheet name="2.Encargos Sociais" sheetId="8" r:id="rId2"/>
    <sheet name="3.CAGED" sheetId="5" r:id="rId3"/>
    <sheet name="4.BDI" sheetId="4" r:id="rId4"/>
    <sheet name="5. Depreciação" sheetId="6" r:id="rId5"/>
    <sheet name="6.Remuneração de capital" sheetId="7" r:id="rId6"/>
  </sheets>
  <externalReferences>
    <externalReference r:id="rId7"/>
  </externalReferences>
  <definedNames>
    <definedName name="AbaDeprec">'5. Depreciação'!$A$1</definedName>
    <definedName name="AbaRemun">'6.Remuneração de capital'!$A$1</definedName>
    <definedName name="_xlnm.Print_Area" localSheetId="0">'1. Triagem e Transbordo'!$A$1:$F$250</definedName>
    <definedName name="_xlnm.Print_Area" localSheetId="1">'2.Encargos Sociais'!$A$1:$C$36</definedName>
    <definedName name="_xlnm.Print_Titles" localSheetId="0">'1. Triagem e Transbordo'!#REF!</definedName>
  </definedNames>
  <calcPr calcId="144525"/>
</workbook>
</file>

<file path=xl/calcChain.xml><?xml version="1.0" encoding="utf-8"?>
<calcChain xmlns="http://schemas.openxmlformats.org/spreadsheetml/2006/main">
  <c r="C13" i="4" l="1"/>
  <c r="A10" i="2" l="1"/>
  <c r="A38" i="2"/>
  <c r="C221" i="2"/>
  <c r="E39" i="2"/>
  <c r="A33" i="2"/>
  <c r="A23" i="2"/>
  <c r="A22" i="2"/>
  <c r="A21" i="2"/>
  <c r="A84" i="2" l="1"/>
  <c r="A85" i="2"/>
  <c r="C84" i="2"/>
  <c r="E69" i="2"/>
  <c r="D72" i="2" s="1"/>
  <c r="E72" i="2" s="1"/>
  <c r="E73" i="2" s="1"/>
  <c r="E77" i="2"/>
  <c r="A83" i="2"/>
  <c r="C83" i="2"/>
  <c r="C85" i="2"/>
  <c r="D74" i="2" l="1"/>
  <c r="C31" i="8"/>
  <c r="C30" i="8"/>
  <c r="C28" i="8"/>
  <c r="C27" i="8"/>
  <c r="C20" i="8"/>
  <c r="C19" i="8"/>
  <c r="C17" i="8"/>
  <c r="C25" i="8" l="1"/>
  <c r="C34" i="8" s="1"/>
  <c r="C29" i="8"/>
  <c r="C32" i="8" s="1"/>
  <c r="C35" i="8"/>
  <c r="C36" i="8" l="1"/>
  <c r="C37" i="8" s="1"/>
  <c r="C74" i="2" s="1"/>
  <c r="E74" i="2" s="1"/>
  <c r="E75" i="2" s="1"/>
  <c r="D76" i="2" s="1"/>
  <c r="E76" i="2" s="1"/>
  <c r="F77" i="2" s="1"/>
  <c r="E10" i="2" s="1"/>
  <c r="C62" i="2" l="1"/>
  <c r="C50" i="2"/>
  <c r="E104" i="2"/>
  <c r="E227" i="2" l="1"/>
  <c r="C226" i="2"/>
  <c r="D221" i="2"/>
  <c r="E221" i="2" s="1"/>
  <c r="E217" i="2"/>
  <c r="C215" i="2"/>
  <c r="E211" i="2"/>
  <c r="C223" i="2" s="1"/>
  <c r="E119" i="2"/>
  <c r="E120" i="2"/>
  <c r="E121" i="2"/>
  <c r="E122" i="2"/>
  <c r="E123" i="2"/>
  <c r="E124" i="2"/>
  <c r="E125" i="2"/>
  <c r="E127" i="2"/>
  <c r="D132" i="2"/>
  <c r="E132" i="2" s="1"/>
  <c r="D133" i="2"/>
  <c r="E133" i="2" s="1"/>
  <c r="D134" i="2"/>
  <c r="E134" i="2" s="1"/>
  <c r="E135" i="2"/>
  <c r="E136" i="2"/>
  <c r="D137" i="2"/>
  <c r="E137" i="2" s="1"/>
  <c r="D138" i="2"/>
  <c r="E138" i="2" s="1"/>
  <c r="D139" i="2"/>
  <c r="E139" i="2" s="1"/>
  <c r="E234" i="2"/>
  <c r="E235" i="2"/>
  <c r="E236" i="2"/>
  <c r="E237" i="2"/>
  <c r="F238" i="2" l="1"/>
  <c r="F240" i="2" s="1"/>
  <c r="D214" i="2"/>
  <c r="E214" i="2" s="1"/>
  <c r="D215" i="2" s="1"/>
  <c r="E215" i="2" s="1"/>
  <c r="D216" i="2" s="1"/>
  <c r="E216" i="2" s="1"/>
  <c r="F217" i="2" s="1"/>
  <c r="E22" i="2" s="1"/>
  <c r="C224" i="2" l="1"/>
  <c r="D225" i="2" s="1"/>
  <c r="E225" i="2" s="1"/>
  <c r="D226" i="2" s="1"/>
  <c r="E226" i="2" s="1"/>
  <c r="F227" i="2" s="1"/>
  <c r="E23" i="2" s="1"/>
  <c r="E21" i="2" s="1"/>
  <c r="A20" i="2"/>
  <c r="A19" i="2"/>
  <c r="A18" i="2"/>
  <c r="A17" i="2"/>
  <c r="A16" i="2"/>
  <c r="D192" i="2" l="1"/>
  <c r="D190" i="2"/>
  <c r="D188" i="2"/>
  <c r="D186" i="2"/>
  <c r="D184" i="2"/>
  <c r="D193" i="2" l="1"/>
  <c r="A37" i="2" l="1"/>
  <c r="D162" i="2" l="1"/>
  <c r="E176" i="2" l="1"/>
  <c r="F176" i="2" s="1"/>
  <c r="C188" i="2"/>
  <c r="E188" i="2" s="1"/>
  <c r="C205" i="2"/>
  <c r="E203" i="2"/>
  <c r="C184" i="2"/>
  <c r="C197" i="2" s="1"/>
  <c r="E184" i="2" l="1"/>
  <c r="E202" i="2"/>
  <c r="D204" i="2" s="1"/>
  <c r="C174" i="2"/>
  <c r="C173" i="2"/>
  <c r="C172" i="2"/>
  <c r="E168" i="2"/>
  <c r="C167" i="2"/>
  <c r="E162" i="2"/>
  <c r="E158" i="2"/>
  <c r="C156" i="2"/>
  <c r="E152" i="2"/>
  <c r="D155" i="2" l="1"/>
  <c r="E155" i="2" s="1"/>
  <c r="D156" i="2" s="1"/>
  <c r="E156" i="2" s="1"/>
  <c r="C192" i="2"/>
  <c r="E192" i="2" s="1"/>
  <c r="E204" i="2"/>
  <c r="C186" i="2"/>
  <c r="E186" i="2" s="1"/>
  <c r="F194" i="2" s="1"/>
  <c r="C190" i="2"/>
  <c r="E190" i="2" s="1"/>
  <c r="E197" i="2"/>
  <c r="F198" i="2" s="1"/>
  <c r="E19" i="2" s="1"/>
  <c r="C164" i="2"/>
  <c r="D205" i="2" l="1"/>
  <c r="E205" i="2" s="1"/>
  <c r="F206" i="2" s="1"/>
  <c r="E20" i="2" s="1"/>
  <c r="D157" i="2"/>
  <c r="E157" i="2" s="1"/>
  <c r="F158" i="2" s="1"/>
  <c r="C165" i="2"/>
  <c r="D166" i="2" s="1"/>
  <c r="E166" i="2" s="1"/>
  <c r="D167" i="2" s="1"/>
  <c r="E115" i="2"/>
  <c r="A12" i="2"/>
  <c r="A11" i="2"/>
  <c r="E17" i="2" l="1"/>
  <c r="E167" i="2"/>
  <c r="F168" i="2" s="1"/>
  <c r="E18" i="2" s="1"/>
  <c r="E16" i="2" s="1"/>
  <c r="F229" i="2" l="1"/>
  <c r="A91" i="2"/>
  <c r="A90" i="2"/>
  <c r="E65" i="2"/>
  <c r="E57" i="2"/>
  <c r="D60" i="2" s="1"/>
  <c r="E60" i="2" s="1"/>
  <c r="D84" i="2" s="1"/>
  <c r="E84" i="2" s="1"/>
  <c r="A97" i="2" l="1"/>
  <c r="A103" i="2" s="1"/>
  <c r="E61" i="2"/>
  <c r="D85" i="2" s="1"/>
  <c r="E85" i="2" s="1"/>
  <c r="D62" i="2" l="1"/>
  <c r="A25" i="2"/>
  <c r="A24" i="2"/>
  <c r="A15" i="2"/>
  <c r="A14" i="2"/>
  <c r="A7" i="2"/>
  <c r="E32" i="2" l="1"/>
  <c r="C102" i="2"/>
  <c r="E102" i="2" s="1"/>
  <c r="F104" i="2" s="1"/>
  <c r="C141" i="2" l="1"/>
  <c r="E34" i="2"/>
  <c r="C126" i="2"/>
  <c r="C96" i="2"/>
  <c r="C90" i="2"/>
  <c r="E90" i="2" s="1"/>
  <c r="C97" i="2"/>
  <c r="E97" i="2" s="1"/>
  <c r="C91" i="2"/>
  <c r="E91" i="2" s="1"/>
  <c r="E114" i="2" l="1"/>
  <c r="E116" i="2"/>
  <c r="E117" i="2"/>
  <c r="E118" i="2"/>
  <c r="E113" i="2"/>
  <c r="D126" i="2" l="1"/>
  <c r="E126" i="2" s="1"/>
  <c r="F127" i="2" s="1"/>
  <c r="A13" i="2"/>
  <c r="A9" i="2"/>
  <c r="A8" i="2"/>
  <c r="E142" i="2"/>
  <c r="E98" i="2"/>
  <c r="E53" i="2"/>
  <c r="C18" i="4"/>
  <c r="C247" i="2" s="1"/>
  <c r="F11" i="4"/>
  <c r="E11" i="4"/>
  <c r="D11" i="4"/>
  <c r="C27" i="5"/>
  <c r="C22" i="5"/>
  <c r="C21" i="5"/>
  <c r="A31" i="2"/>
  <c r="A32" i="2"/>
  <c r="E47" i="2"/>
  <c r="A96" i="2"/>
  <c r="A102" i="2" s="1"/>
  <c r="E140" i="2"/>
  <c r="D141" i="2" s="1"/>
  <c r="E141" i="2" s="1"/>
  <c r="F142" i="2" l="1"/>
  <c r="F144" i="2" s="1"/>
  <c r="G21" i="5"/>
  <c r="C32" i="5"/>
  <c r="E30" i="5"/>
  <c r="D30" i="5" s="1"/>
  <c r="D31" i="5" s="1"/>
  <c r="C31" i="5" s="1"/>
  <c r="E24" i="2"/>
  <c r="D48" i="2"/>
  <c r="E48" i="2" s="1"/>
  <c r="E49" i="2" s="1"/>
  <c r="D83" i="2" s="1"/>
  <c r="E83" i="2" s="1"/>
  <c r="F86" i="2" s="1"/>
  <c r="D50" i="2" l="1"/>
  <c r="K28" i="5"/>
  <c r="K29" i="5" s="1"/>
  <c r="K30" i="5" s="1"/>
  <c r="K31" i="5" s="1"/>
  <c r="K32" i="5" s="1"/>
  <c r="K33" i="5" s="1"/>
  <c r="K34" i="5" s="1"/>
  <c r="F30" i="5"/>
  <c r="G30" i="5" s="1"/>
  <c r="C30" i="5"/>
  <c r="F92" i="2"/>
  <c r="E12" i="2" s="1"/>
  <c r="F98" i="2"/>
  <c r="E13" i="2" l="1"/>
  <c r="E62" i="2"/>
  <c r="E63" i="2" s="1"/>
  <c r="D64" i="2" s="1"/>
  <c r="E64" i="2" s="1"/>
  <c r="F65" i="2" s="1"/>
  <c r="G31" i="5"/>
  <c r="G25" i="5"/>
  <c r="E14" i="2"/>
  <c r="E15" i="2" l="1"/>
  <c r="E50" i="2"/>
  <c r="E51" i="2" l="1"/>
  <c r="D52" i="2" s="1"/>
  <c r="E52" i="2" s="1"/>
  <c r="F53" i="2" s="1"/>
  <c r="F106" i="2" s="1"/>
  <c r="E7" i="2" s="1"/>
  <c r="E9" i="2"/>
  <c r="E8" i="2" l="1"/>
  <c r="F242" i="2"/>
  <c r="E11" i="2"/>
  <c r="D247" i="2" l="1"/>
  <c r="E247" i="2" l="1"/>
  <c r="F248" i="2" s="1"/>
  <c r="F250" i="2" l="1"/>
  <c r="E25" i="2"/>
  <c r="E26" i="2" s="1"/>
  <c r="F19" i="2" s="1"/>
  <c r="F17" i="2" l="1"/>
  <c r="F8" i="2"/>
  <c r="F11" i="2"/>
  <c r="F9" i="2"/>
  <c r="F12" i="2"/>
  <c r="F7" i="2"/>
  <c r="F14" i="2"/>
  <c r="F10" i="2"/>
  <c r="F16" i="2"/>
  <c r="F20" i="2"/>
  <c r="F15" i="2"/>
  <c r="F22" i="2"/>
  <c r="F21" i="2"/>
  <c r="F23" i="2"/>
  <c r="F25" i="2"/>
  <c r="F24" i="2"/>
  <c r="F18" i="2"/>
  <c r="F13" i="2"/>
  <c r="F26" i="2" l="1"/>
</calcChain>
</file>

<file path=xl/comments1.xml><?xml version="1.0" encoding="utf-8"?>
<comments xmlns="http://schemas.openxmlformats.org/spreadsheetml/2006/main">
  <authors>
    <author>Clauber Bridi</author>
  </authors>
  <commentList>
    <comment ref="A5" authorId="0">
      <text>
        <r>
          <rPr>
            <sz val="9"/>
            <color indexed="81"/>
            <rFont val="Tahoma"/>
            <family val="2"/>
          </rPr>
          <t>Qualquer custo previsto no edital e não contemplado nesta planilha modelo deverá ser devidamente incluído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1" authorId="0">
      <text>
        <r>
          <rPr>
            <b/>
            <sz val="9"/>
            <color indexed="81"/>
            <rFont val="Tahoma"/>
            <family val="2"/>
          </rPr>
          <t>Informar o fator de utilização das equipes de coleta. 
Por exemplo:
Equipes com utilização integral = 100%
Equipes com utilização parcial = n° horas trabalhadas por semana /44 horas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7" authorId="0">
      <text>
        <r>
          <rPr>
            <sz val="9"/>
            <color indexed="81"/>
            <rFont val="Tahoma"/>
            <family val="2"/>
          </rPr>
          <t>Informar o Piso da categoria fixado na Convenção Coletiva</t>
        </r>
      </text>
    </comment>
    <comment ref="C50" authorId="0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52" authorId="0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D57" authorId="0">
      <text>
        <r>
          <rPr>
            <sz val="9"/>
            <color indexed="81"/>
            <rFont val="Tahoma"/>
            <family val="2"/>
          </rPr>
          <t>Informar o Piso da categoria fixado na Convenção Coletiva</t>
        </r>
      </text>
    </comment>
    <comment ref="D58" authorId="0">
      <text>
        <r>
          <rPr>
            <sz val="9"/>
            <color indexed="81"/>
            <rFont val="Tahoma"/>
            <family val="2"/>
          </rPr>
          <t>Informar o valor do salário Mínimo Nacional</t>
        </r>
      </text>
    </comment>
    <comment ref="C59" authorId="0">
      <text>
        <r>
          <rPr>
            <sz val="9"/>
            <color indexed="81"/>
            <rFont val="Tahoma"/>
            <family val="2"/>
          </rPr>
          <t xml:space="preserve">Informar 1 se a base de cálculo for o Salário Mínimo Nacional; Informar 2 se a base de cálculo for o Piso da Categoria; 
</t>
        </r>
      </text>
    </comment>
    <comment ref="C60" authorId="0">
      <text>
        <r>
          <rPr>
            <sz val="9"/>
            <color indexed="81"/>
            <rFont val="Tahoma"/>
            <family val="2"/>
          </rPr>
          <t>Percentual estabelecido nas Normas de Segurança de Trabalho ou pelo laudo de responsável técnico devidamente habilitado</t>
        </r>
      </text>
    </comment>
    <comment ref="C62" authorId="0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64" authorId="0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D69" authorId="0">
      <text>
        <r>
          <rPr>
            <sz val="9"/>
            <color indexed="81"/>
            <rFont val="Tahoma"/>
            <family val="2"/>
          </rPr>
          <t>Informar o Piso da categoria fixado na Convenção Coletiva</t>
        </r>
      </text>
    </comment>
    <comment ref="D70" authorId="0">
      <text>
        <r>
          <rPr>
            <sz val="9"/>
            <color indexed="81"/>
            <rFont val="Tahoma"/>
            <family val="2"/>
          </rPr>
          <t>Informar o valor do salário Mínimo Nacional</t>
        </r>
      </text>
    </comment>
    <comment ref="C71" authorId="0">
      <text>
        <r>
          <rPr>
            <sz val="9"/>
            <color indexed="81"/>
            <rFont val="Tahoma"/>
            <family val="2"/>
          </rPr>
          <t xml:space="preserve">Informar 1 se a base de cálculo for o Salário Mínimo Nacional; Informar 2 se a base de cálculo for o Piso da Categoria; 
</t>
        </r>
      </text>
    </comment>
    <comment ref="C72" authorId="0">
      <text>
        <r>
          <rPr>
            <sz val="9"/>
            <color indexed="81"/>
            <rFont val="Tahoma"/>
            <family val="2"/>
          </rPr>
          <t>Percentual estabelecido nas Normas de Segurança de Trabalho ou pelo laudo de responsável técnico devidamente habilitado</t>
        </r>
      </text>
    </comment>
    <comment ref="C74" authorId="0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76" authorId="0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D81" authorId="0">
      <text>
        <r>
          <rPr>
            <sz val="9"/>
            <color indexed="81"/>
            <rFont val="Tahoma"/>
            <family val="2"/>
          </rPr>
          <t>Informar o valor unitário do VT no município</t>
        </r>
      </text>
    </comment>
    <comment ref="C82" authorId="0">
      <text>
        <r>
          <rPr>
            <sz val="9"/>
            <color indexed="81"/>
            <rFont val="Tahoma"/>
            <family val="2"/>
          </rPr>
          <t>Informar o número médio de dias trabalhados por mês</t>
        </r>
      </text>
    </comment>
    <comment ref="D83" authorId="0">
      <text>
        <r>
          <rPr>
            <sz val="9"/>
            <color indexed="81"/>
            <rFont val="Tahoma"/>
            <family val="2"/>
          </rPr>
          <t>Valor Unitário considerando o desconto legal de até 6% do salário</t>
        </r>
      </text>
    </comment>
    <comment ref="D90" authorId="0">
      <text>
        <r>
          <rPr>
            <sz val="9"/>
            <color indexed="81"/>
            <rFont val="Tahoma"/>
            <family val="2"/>
          </rPr>
          <t>Informar o valor unitário diário do vale refeição conforme Convenção Coletiva da categoria</t>
        </r>
      </text>
    </comment>
    <comment ref="D96" authorId="0">
      <text>
        <r>
          <rPr>
            <sz val="9"/>
            <color indexed="81"/>
            <rFont val="Tahoma"/>
            <family val="2"/>
          </rPr>
          <t>Informar o valor mensal do auxilio alimentação conforme Convenção Coletiva da categoria</t>
        </r>
      </text>
    </comment>
    <comment ref="D102" authorId="0">
      <text>
        <r>
          <rPr>
            <sz val="9"/>
            <color indexed="81"/>
            <rFont val="Tahoma"/>
            <family val="2"/>
          </rPr>
          <t>Informar o valor mensal do auxilio alimentação conforme Convenção Coletiva da categoria</t>
        </r>
      </text>
    </comment>
    <comment ref="C113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13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14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14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16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16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17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17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18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18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20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20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21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21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22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22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23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23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24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24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D125" authorId="0">
      <text>
        <r>
          <rPr>
            <sz val="9"/>
            <color indexed="81"/>
            <rFont val="Tahoma"/>
            <family val="2"/>
          </rPr>
          <t>Informar o valor mensal de higienização de uniforme para 1 funcionário</t>
        </r>
      </text>
    </comment>
    <comment ref="C132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33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34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37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38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39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40" authorId="0">
      <text>
        <r>
          <rPr>
            <sz val="9"/>
            <color indexed="81"/>
            <rFont val="Tahoma"/>
            <family val="2"/>
          </rPr>
          <t>Informar o valor mensal de higienização de uniforme para 1 funcionário</t>
        </r>
      </text>
    </comment>
    <comment ref="D152" authorId="0">
      <text>
        <r>
          <rPr>
            <sz val="9"/>
            <color indexed="81"/>
            <rFont val="Tahoma"/>
            <family val="2"/>
          </rPr>
          <t>Informar o preço unitário do chassis do caminhão de coleta</t>
        </r>
      </text>
    </comment>
    <comment ref="C153" authorId="0">
      <text>
        <r>
          <rPr>
            <sz val="9"/>
            <color indexed="81"/>
            <rFont val="Tahoma"/>
            <family val="2"/>
          </rPr>
          <t>Informar a vida útil estimada para o caminhão, em anos</t>
        </r>
      </text>
    </comment>
    <comment ref="C154" authorId="0">
      <text>
        <r>
          <rPr>
            <sz val="9"/>
            <color indexed="81"/>
            <rFont val="Tahoma"/>
            <family val="2"/>
          </rPr>
          <t>Na elaboração do orçamento-base da licitação, informar 0 (zero). Na proposta da licitante, informar a idade do veículo proposto.</t>
        </r>
      </text>
    </comment>
    <comment ref="C155" authorId="0">
      <text>
        <r>
          <rPr>
            <b/>
            <sz val="9"/>
            <color indexed="81"/>
            <rFont val="Tahoma"/>
            <family val="2"/>
          </rPr>
          <t xml:space="preserve">Informar o valor da depreciação do caminhão, adotando o valor sugerido pelo TCE ou outro valor estimado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57" authorId="0">
      <text>
        <r>
          <rPr>
            <sz val="9"/>
            <color indexed="81"/>
            <rFont val="Tahoma"/>
            <family val="2"/>
          </rPr>
          <t>Informar a quantidade de caminhões compactadores do respectivo modelo</t>
        </r>
      </text>
    </comment>
    <comment ref="C163" authorId="0">
      <text>
        <r>
          <rPr>
            <b/>
            <sz val="9"/>
            <color indexed="81"/>
            <rFont val="Tahoma"/>
            <family val="2"/>
          </rPr>
          <t>Informar a taxa de juros anual para remuneração do capital. Recomenda-se o uso da Taxa SELIC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73" authorId="0">
      <text>
        <r>
          <rPr>
            <sz val="9"/>
            <color indexed="81"/>
            <rFont val="Tahoma"/>
            <family val="2"/>
          </rPr>
          <t xml:space="preserve">Informar o valor do seguro obrigatório e licenciamento anual de um caminhão
</t>
        </r>
      </text>
    </comment>
    <comment ref="D174" authorId="0">
      <text>
        <r>
          <rPr>
            <sz val="9"/>
            <color indexed="81"/>
            <rFont val="Tahoma"/>
            <family val="2"/>
          </rPr>
          <t xml:space="preserve">Informar o valor do seguro contra terceiros de um caminhão, se houver
</t>
        </r>
      </text>
    </comment>
    <comment ref="B180" authorId="0">
      <text>
        <r>
          <rPr>
            <sz val="9"/>
            <color indexed="81"/>
            <rFont val="Tahoma"/>
            <family val="2"/>
          </rPr>
          <t xml:space="preserve">Informar a quilometragem mensal percorrida, de acordo com o projeto básico
</t>
        </r>
      </text>
    </comment>
    <comment ref="C183" authorId="0">
      <text>
        <r>
          <rPr>
            <sz val="9"/>
            <color indexed="81"/>
            <rFont val="Tahoma"/>
            <family val="2"/>
          </rPr>
          <t>Informar o consumo estimado do veículo em L/h</t>
        </r>
      </text>
    </comment>
    <comment ref="D183" authorId="0">
      <text>
        <r>
          <rPr>
            <sz val="9"/>
            <color indexed="81"/>
            <rFont val="Tahoma"/>
            <family val="2"/>
          </rPr>
          <t xml:space="preserve">Informar o preço unitário do combustivel
</t>
        </r>
      </text>
    </comment>
    <comment ref="C185" authorId="0">
      <text>
        <r>
          <rPr>
            <sz val="9"/>
            <color indexed="81"/>
            <rFont val="Tahoma"/>
            <family val="2"/>
          </rPr>
          <t xml:space="preserve">Informar o consumo de óleo do motor a cada 100h
</t>
        </r>
      </text>
    </comment>
    <comment ref="D185" authorId="0">
      <text>
        <r>
          <rPr>
            <sz val="9"/>
            <color indexed="81"/>
            <rFont val="Tahoma"/>
            <family val="2"/>
          </rPr>
          <t xml:space="preserve">Informar o preço unitário do litro do óleo do motor
</t>
        </r>
      </text>
    </comment>
    <comment ref="C187" authorId="0">
      <text>
        <r>
          <rPr>
            <sz val="9"/>
            <color indexed="81"/>
            <rFont val="Tahoma"/>
            <family val="2"/>
          </rPr>
          <t>Informar o consumo de óleo da transmissão a cada 100h</t>
        </r>
      </text>
    </comment>
    <comment ref="D187" authorId="0">
      <text>
        <r>
          <rPr>
            <sz val="9"/>
            <color indexed="81"/>
            <rFont val="Tahoma"/>
            <family val="2"/>
          </rPr>
          <t xml:space="preserve">Informar o preço unitário do litro do óleo da transmissão
</t>
        </r>
      </text>
    </comment>
    <comment ref="C189" authorId="0">
      <text>
        <r>
          <rPr>
            <sz val="9"/>
            <color indexed="81"/>
            <rFont val="Tahoma"/>
            <family val="2"/>
          </rPr>
          <t>Informar o consumo de óleo hidráulico a cada 100h</t>
        </r>
      </text>
    </comment>
    <comment ref="D189" authorId="0">
      <text>
        <r>
          <rPr>
            <sz val="9"/>
            <color indexed="81"/>
            <rFont val="Tahoma"/>
            <family val="2"/>
          </rPr>
          <t xml:space="preserve">Informar o preço unitário do litro do óleo hidráulico
</t>
        </r>
      </text>
    </comment>
    <comment ref="C191" authorId="0">
      <text>
        <r>
          <rPr>
            <sz val="9"/>
            <color indexed="81"/>
            <rFont val="Tahoma"/>
            <family val="2"/>
          </rPr>
          <t>Informar o consumo de graxa a cada 100h</t>
        </r>
      </text>
    </comment>
    <comment ref="D191" authorId="0">
      <text>
        <r>
          <rPr>
            <sz val="9"/>
            <color indexed="81"/>
            <rFont val="Tahoma"/>
            <family val="2"/>
          </rPr>
          <t xml:space="preserve">Informar o preço unitário do quilograma da graxa
</t>
        </r>
      </text>
    </comment>
    <comment ref="D197" authorId="0">
      <text>
        <r>
          <rPr>
            <sz val="9"/>
            <color indexed="81"/>
            <rFont val="Tahoma"/>
            <family val="2"/>
          </rPr>
          <t xml:space="preserve">Informar o custo de manutenção em R$/hora trabalhada
</t>
        </r>
      </text>
    </comment>
    <comment ref="C202" authorId="0">
      <text>
        <r>
          <rPr>
            <sz val="9"/>
            <color indexed="81"/>
            <rFont val="Tahoma"/>
            <family val="2"/>
          </rPr>
          <t>Informar a quantidade de pneus novos de 1 caminhão</t>
        </r>
      </text>
    </comment>
    <comment ref="D202" authorId="0">
      <text>
        <r>
          <rPr>
            <sz val="9"/>
            <color indexed="81"/>
            <rFont val="Tahoma"/>
            <family val="2"/>
          </rPr>
          <t xml:space="preserve">Informar o preço unitário de cada pneu
</t>
        </r>
      </text>
    </comment>
    <comment ref="C203" authorId="0">
      <text>
        <r>
          <rPr>
            <sz val="9"/>
            <color indexed="81"/>
            <rFont val="Tahoma"/>
            <family val="2"/>
          </rPr>
          <t>Informar o número de recapagens por pneu</t>
        </r>
      </text>
    </comment>
    <comment ref="C204" authorId="0">
      <text>
        <r>
          <rPr>
            <sz val="9"/>
            <color indexed="81"/>
            <rFont val="Tahoma"/>
            <family val="2"/>
          </rPr>
          <t xml:space="preserve">Informar a durabilidade média dos pneus considerando as recapagens, em km
</t>
        </r>
      </text>
    </comment>
    <comment ref="D211" authorId="0">
      <text>
        <r>
          <rPr>
            <sz val="9"/>
            <color indexed="81"/>
            <rFont val="Tahoma"/>
            <family val="2"/>
          </rPr>
          <t>Informar o preço unitário do chassis do caminhão de coleta</t>
        </r>
      </text>
    </comment>
    <comment ref="C212" authorId="0">
      <text>
        <r>
          <rPr>
            <sz val="9"/>
            <color indexed="81"/>
            <rFont val="Tahoma"/>
            <family val="2"/>
          </rPr>
          <t>Informar a vida útil estimada para o caminhão, em anos</t>
        </r>
      </text>
    </comment>
    <comment ref="C213" authorId="0">
      <text>
        <r>
          <rPr>
            <sz val="9"/>
            <color indexed="81"/>
            <rFont val="Tahoma"/>
            <family val="2"/>
          </rPr>
          <t>Na elaboração do orçamento-base da licitação, informar 0 (zero). Na proposta da licitante, informar a idade do veículo proposto.</t>
        </r>
      </text>
    </comment>
    <comment ref="C214" authorId="0">
      <text>
        <r>
          <rPr>
            <b/>
            <sz val="9"/>
            <color indexed="81"/>
            <rFont val="Tahoma"/>
            <family val="2"/>
          </rPr>
          <t xml:space="preserve">Informar o valor da depreciação do equipamento, adotando o valor sugerido pelo TCE ou outro valor estimado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16" authorId="0">
      <text>
        <r>
          <rPr>
            <sz val="9"/>
            <color indexed="81"/>
            <rFont val="Tahoma"/>
            <family val="2"/>
          </rPr>
          <t>Informar a quantidade de caminhões compactadores do respectivo modelo</t>
        </r>
      </text>
    </comment>
    <comment ref="C222" authorId="0">
      <text>
        <r>
          <rPr>
            <b/>
            <sz val="9"/>
            <color indexed="81"/>
            <rFont val="Tahoma"/>
            <family val="2"/>
          </rPr>
          <t>Informar a taxa de juros anual para remuneração do capital. Recomenda-se o uso da Taxa SELIC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34" authorId="0">
      <text>
        <r>
          <rPr>
            <sz val="9"/>
            <color indexed="81"/>
            <rFont val="Tahoma"/>
            <family val="2"/>
          </rPr>
          <t xml:space="preserve">Informar a quantidade estimada por ano. </t>
        </r>
      </text>
    </comment>
    <comment ref="D234" author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C235" authorId="0">
      <text>
        <r>
          <rPr>
            <sz val="9"/>
            <color indexed="81"/>
            <rFont val="Tahoma"/>
            <family val="2"/>
          </rPr>
          <t xml:space="preserve">Informar a quantidade estimada por ano. </t>
        </r>
      </text>
    </comment>
    <comment ref="D235" author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C237" authorId="0">
      <text>
        <r>
          <rPr>
            <sz val="9"/>
            <color indexed="81"/>
            <rFont val="Tahoma"/>
            <family val="2"/>
          </rPr>
          <t xml:space="preserve">Informar a quantidade estimada por ano. </t>
        </r>
      </text>
    </comment>
    <comment ref="D237" author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C247" authorId="0">
      <text>
        <r>
          <rPr>
            <sz val="9"/>
            <color indexed="81"/>
            <rFont val="Tahoma"/>
            <family val="2"/>
          </rPr>
          <t>Preencher a aba 4.BDI</t>
        </r>
      </text>
    </comment>
  </commentList>
</comments>
</file>

<file path=xl/comments2.xml><?xml version="1.0" encoding="utf-8"?>
<comments xmlns="http://schemas.openxmlformats.org/spreadsheetml/2006/main">
  <authors>
    <author>Jorge Mesquita</author>
  </authors>
  <commentList>
    <comment ref="G30" authorId="0">
      <text>
        <r>
          <rPr>
            <b/>
            <sz val="9"/>
            <color indexed="81"/>
            <rFont val="Tahoma"/>
            <family val="2"/>
          </rPr>
          <t>Jorge Mesquita:</t>
        </r>
        <r>
          <rPr>
            <sz val="9"/>
            <color indexed="81"/>
            <rFont val="Tahoma"/>
            <family val="2"/>
          </rPr>
          <t xml:space="preserve">
Criar um tipo de arredondamento.
</t>
        </r>
      </text>
    </comment>
  </commentList>
</comments>
</file>

<file path=xl/comments3.xml><?xml version="1.0" encoding="utf-8"?>
<comments xmlns="http://schemas.openxmlformats.org/spreadsheetml/2006/main">
  <authors>
    <author>Clauber Bridi</author>
  </authors>
  <commentList>
    <comment ref="C10" authorId="0">
      <text>
        <r>
          <rPr>
            <b/>
            <sz val="9"/>
            <color indexed="81"/>
            <rFont val="Tahoma"/>
            <family val="2"/>
          </rPr>
          <t>Informar o % de Administração Central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1" authorId="0">
      <text>
        <r>
          <rPr>
            <b/>
            <sz val="9"/>
            <color indexed="81"/>
            <rFont val="Tahoma"/>
            <family val="2"/>
          </rPr>
          <t>Informar o % de Seguros, Riscos e Garantia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2" authorId="0">
      <text>
        <r>
          <rPr>
            <b/>
            <sz val="9"/>
            <color indexed="81"/>
            <rFont val="Tahoma"/>
            <family val="2"/>
          </rPr>
          <t>Informar o % de Lucro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3" authorId="0">
      <text>
        <r>
          <rPr>
            <b/>
            <sz val="9"/>
            <color indexed="81"/>
            <rFont val="Tahoma"/>
            <family val="2"/>
          </rPr>
          <t>Informar o valor anual da taxa financeira, em percentual. Admite-se utilizar a SELIC</t>
        </r>
      </text>
    </comment>
    <comment ref="C14" authorId="0">
      <text>
        <r>
          <rPr>
            <b/>
            <sz val="9"/>
            <color indexed="81"/>
            <rFont val="Tahoma"/>
            <family val="2"/>
          </rPr>
          <t>Informar o percentual de ISS, de acordo com a legislação tributária do município onde serão prestados os serviços. De 2% até o limite de 5%.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4" authorId="0">
      <text>
        <r>
          <rPr>
            <b/>
            <sz val="9"/>
            <color indexed="81"/>
            <rFont val="Tahoma"/>
            <family val="2"/>
          </rPr>
          <t>Informar a média de dias úteis entre data de pagamento prevista no contrato e a data final do período de adimplemento da parcela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5" authorId="0">
      <text>
        <r>
          <rPr>
            <b/>
            <sz val="9"/>
            <color indexed="81"/>
            <rFont val="Tahoma"/>
            <family val="2"/>
          </rPr>
          <t xml:space="preserve">Informar o valor estimado de PIS/COFINS. </t>
        </r>
        <r>
          <rPr>
            <sz val="9"/>
            <color indexed="81"/>
            <rFont val="Tahoma"/>
            <family val="2"/>
          </rPr>
          <t xml:space="preserve">
1. Adotar 0,65% PIS + 3% COFINS quando o valor anual estimado do contrato for inferior ao limite para tributação pelo regime de incidência não-cumulativa (lucro presumido);
2. Adotar 1,65% PIS + 7,6% COFINS quando o valor anual estimado do contrato for superior ao limite para tributação pelo regime de incidência não-cumulativa (lucro real);</t>
        </r>
      </text>
    </comment>
  </commentList>
</comments>
</file>

<file path=xl/sharedStrings.xml><?xml version="1.0" encoding="utf-8"?>
<sst xmlns="http://schemas.openxmlformats.org/spreadsheetml/2006/main" count="491" uniqueCount="253">
  <si>
    <t>Adicional de Insalubridade</t>
  </si>
  <si>
    <t>%</t>
  </si>
  <si>
    <t>Soma</t>
  </si>
  <si>
    <t>Encargos Sociais</t>
  </si>
  <si>
    <t>Total do Efetivo</t>
  </si>
  <si>
    <t>homem</t>
  </si>
  <si>
    <t>mês</t>
  </si>
  <si>
    <t>unidade</t>
  </si>
  <si>
    <t>IPVA</t>
  </si>
  <si>
    <t>Seguro contra terceiros</t>
  </si>
  <si>
    <t>Impostos e seguros mensais</t>
  </si>
  <si>
    <t>Custo mensal com óleo diesel</t>
  </si>
  <si>
    <t>Custo mensal com óleo do motor</t>
  </si>
  <si>
    <t>Custo mensal com óleo da transmissão</t>
  </si>
  <si>
    <t>Custo mensal com óleo hidráulico</t>
  </si>
  <si>
    <t>Custo mensal com graxa</t>
  </si>
  <si>
    <t>Pá de Concha</t>
  </si>
  <si>
    <t>Vassoura</t>
  </si>
  <si>
    <t>Calça</t>
  </si>
  <si>
    <t>Camiseta</t>
  </si>
  <si>
    <t>Luva de proteção</t>
  </si>
  <si>
    <t>R$</t>
  </si>
  <si>
    <t>Benefícios e despesas indiretas</t>
  </si>
  <si>
    <t>Custo (R$/mês)</t>
  </si>
  <si>
    <t>Mão-de-obra</t>
  </si>
  <si>
    <t>Quantidade</t>
  </si>
  <si>
    <t>INSS</t>
  </si>
  <si>
    <t>FGTS</t>
  </si>
  <si>
    <t>Planilha de Composição de Custos</t>
  </si>
  <si>
    <t>2. Uniformes e Equipamentos de Proteção Individual</t>
  </si>
  <si>
    <t>3.1.1. Depreciação</t>
  </si>
  <si>
    <t>1. Mão-de-obra</t>
  </si>
  <si>
    <t>par</t>
  </si>
  <si>
    <t>frasco 120g</t>
  </si>
  <si>
    <t>3.1.3. Impostos e Seguros</t>
  </si>
  <si>
    <t>3.1.4. Consumos</t>
  </si>
  <si>
    <t>3.1.5. Manutenção</t>
  </si>
  <si>
    <t>3. Veículos e Equipamentos</t>
  </si>
  <si>
    <t>Custo mensal com pneus</t>
  </si>
  <si>
    <t>Veículos e Equipamentos</t>
  </si>
  <si>
    <t>Total de mão-de-obra (postos de trabalho)</t>
  </si>
  <si>
    <t>3.1.6. Pneus</t>
  </si>
  <si>
    <t>Protetor solar FPS 30</t>
  </si>
  <si>
    <t>Discriminação</t>
  </si>
  <si>
    <t>Unidade</t>
  </si>
  <si>
    <t>Subtotal</t>
  </si>
  <si>
    <r>
      <t xml:space="preserve">Total </t>
    </r>
    <r>
      <rPr>
        <b/>
        <u/>
        <sz val="9"/>
        <rFont val="Arial"/>
        <family val="2"/>
      </rPr>
      <t>(R$)</t>
    </r>
  </si>
  <si>
    <t>Jaqueta com reflexivo (NBR 15.292)</t>
  </si>
  <si>
    <t>Total por Coletor</t>
  </si>
  <si>
    <t>4. Ferramentas e Materiais de Consumo</t>
  </si>
  <si>
    <t>Administração Central</t>
  </si>
  <si>
    <t>AC</t>
  </si>
  <si>
    <t>Seguros/Riscos/Garantias</t>
  </si>
  <si>
    <t>SRG</t>
  </si>
  <si>
    <t>Despesas Financeiras</t>
  </si>
  <si>
    <t>DF</t>
  </si>
  <si>
    <t>Tributos - ISS</t>
  </si>
  <si>
    <t>T</t>
  </si>
  <si>
    <t>Tributos - PIS/COFINS</t>
  </si>
  <si>
    <t>Fórmula para o cálculo do BDI:</t>
  </si>
  <si>
    <t>{[(1+AC+SRG) x (1+L) x (1+DF)] / (1-T)} -1</t>
  </si>
  <si>
    <t>Resultado do cálculo do BDI:</t>
  </si>
  <si>
    <t>dia</t>
  </si>
  <si>
    <t>Custo Mensal com Mão-de-obra (R$/mês)</t>
  </si>
  <si>
    <t>Meia de algodão com cano alto</t>
  </si>
  <si>
    <t>Quantitativos</t>
  </si>
  <si>
    <t>Vida útil do chassis</t>
  </si>
  <si>
    <t>anos</t>
  </si>
  <si>
    <t>Depreciação do chassis</t>
  </si>
  <si>
    <t>Custo de aquisição do chassis</t>
  </si>
  <si>
    <t>i = taxa de juros do mercado (sugere-se adotar a taxa SELIC)</t>
  </si>
  <si>
    <t>n = vida útil do bem em anos</t>
  </si>
  <si>
    <t>Custo do chassis</t>
  </si>
  <si>
    <t>3.1.2. Remuneração do Capital</t>
  </si>
  <si>
    <t>Im = investimento médio</t>
  </si>
  <si>
    <t>Investimento médio total do chassis</t>
  </si>
  <si>
    <t>Remuneração mensal de capital do chassis</t>
  </si>
  <si>
    <t>R$ mensal</t>
  </si>
  <si>
    <t>Admissões</t>
  </si>
  <si>
    <t>Desligamentos</t>
  </si>
  <si>
    <t>Dispensados com justa causa</t>
  </si>
  <si>
    <t>Dispensados sem justa causa</t>
  </si>
  <si>
    <t>Espontâneos</t>
  </si>
  <si>
    <t>Fim de contrato por prazo determinado</t>
  </si>
  <si>
    <t>Término de contrato</t>
  </si>
  <si>
    <t>Aposentados</t>
  </si>
  <si>
    <t>Mortos</t>
  </si>
  <si>
    <t>Transferência de saída</t>
  </si>
  <si>
    <t xml:space="preserve"> </t>
  </si>
  <si>
    <t>Indicadores</t>
  </si>
  <si>
    <t>Rotatividade</t>
  </si>
  <si>
    <t>Demitidos s/ Justa Causa em relação ao Estoque Médio</t>
  </si>
  <si>
    <t>Dias ano</t>
  </si>
  <si>
    <t>Estoque Médio</t>
  </si>
  <si>
    <t>Multa FGTS</t>
  </si>
  <si>
    <t>Fração de tempo para gozo férias</t>
  </si>
  <si>
    <t>Dias de Aviso prévio</t>
  </si>
  <si>
    <t>Código</t>
  </si>
  <si>
    <t>Descrição</t>
  </si>
  <si>
    <t>Valor</t>
  </si>
  <si>
    <t>A1</t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</si>
  <si>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</si>
  <si>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</si>
  <si>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</si>
  <si>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</si>
  <si>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</si>
  <si>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</si>
  <si>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</si>
  <si>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</si>
  <si>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</si>
  <si>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</si>
  <si>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</si>
  <si>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</si>
  <si>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</si>
  <si>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A</t>
  </si>
  <si>
    <t>SOMA GRUPO A</t>
  </si>
  <si>
    <t>B1</t>
  </si>
  <si>
    <t>Férias gozadas</t>
  </si>
  <si>
    <t>B2</t>
  </si>
  <si>
    <t>13º salário</t>
  </si>
  <si>
    <t>B4</t>
  </si>
  <si>
    <t>Licença Paternidade</t>
  </si>
  <si>
    <t>B5</t>
  </si>
  <si>
    <t>Faltas justificadas</t>
  </si>
  <si>
    <t>B6</t>
  </si>
  <si>
    <t>Auxilio acidente de trabalho</t>
  </si>
  <si>
    <t>Auxilio doença</t>
  </si>
  <si>
    <t>B</t>
  </si>
  <si>
    <t>SOMA GRUPO B</t>
  </si>
  <si>
    <t>C1</t>
  </si>
  <si>
    <t>Aviso prévio indenizado</t>
  </si>
  <si>
    <t>C3</t>
  </si>
  <si>
    <t xml:space="preserve">Férias indenizadas </t>
  </si>
  <si>
    <t>C4</t>
  </si>
  <si>
    <t>Férias indenizadas s/ aviso previo inden.</t>
  </si>
  <si>
    <t>C5</t>
  </si>
  <si>
    <t>Depósito rescisão sem justa causa</t>
  </si>
  <si>
    <t>Indenização adicional</t>
  </si>
  <si>
    <t>C</t>
  </si>
  <si>
    <t>SOMA GRUPO C</t>
  </si>
  <si>
    <t>D1</t>
  </si>
  <si>
    <t>Reincidência de Grupo A sobre Grupo B</t>
  </si>
  <si>
    <t>D2</t>
  </si>
  <si>
    <t>D</t>
  </si>
  <si>
    <t>SOMA GRUPO D</t>
  </si>
  <si>
    <t>SOMA (A+B+C+D)</t>
  </si>
  <si>
    <t>1° Quartil</t>
  </si>
  <si>
    <t>Médio</t>
  </si>
  <si>
    <t>3° Quartil</t>
  </si>
  <si>
    <t>DU</t>
  </si>
  <si>
    <t>Licenciamento e Seguro obrigatório</t>
  </si>
  <si>
    <t>Fator de utilização</t>
  </si>
  <si>
    <t>Fator de utilização (FU)</t>
  </si>
  <si>
    <t>Higienização de uniformes e EPIs</t>
  </si>
  <si>
    <t>2.2. Uniformes e EPIs para demais categorias</t>
  </si>
  <si>
    <t>Custo Mensal com Uniformes e EPIs (R$/mês)</t>
  </si>
  <si>
    <t>Descrição do Item</t>
  </si>
  <si>
    <t>Orçamento Sintético</t>
  </si>
  <si>
    <t>Rio Grande do Sul  - Coleta de Resíduos Não-Perigosos - CNAE 38114</t>
  </si>
  <si>
    <t>Idade do veículo (ano)</t>
  </si>
  <si>
    <t>Idade do veículo</t>
  </si>
  <si>
    <t>Valor do veículo proposto (V0)</t>
  </si>
  <si>
    <t>Taxa de juros anual nominal</t>
  </si>
  <si>
    <t>Piso da categoria</t>
  </si>
  <si>
    <t>Base de cálculo da Insalubridade</t>
  </si>
  <si>
    <t>Piso da categoria (1)</t>
  </si>
  <si>
    <t>Salário mínimo nacional (2)</t>
  </si>
  <si>
    <t>C2</t>
  </si>
  <si>
    <t>B3</t>
  </si>
  <si>
    <t>Custo Mensal com Veículos e Equipamentos (R$/mês)</t>
  </si>
  <si>
    <t>Custo Mensal com Ferramentas e Materiais de Consumo (R$/mês)</t>
  </si>
  <si>
    <t>CUSTO TOTAL MENSAL COM DESPESAS OPERACIONAIS (R$/mês)</t>
  </si>
  <si>
    <t>PREÇO MENSAL TOTAL (R$/mês)</t>
  </si>
  <si>
    <t>3. CAGED</t>
  </si>
  <si>
    <t>4. Composição do BDI - Benefícios e Despesas Indiretas</t>
  </si>
  <si>
    <t xml:space="preserve">2. Composição dos Encargos Sociais </t>
  </si>
  <si>
    <t>5. Depreciação Referencial TCE/RS (%)</t>
  </si>
  <si>
    <r>
      <t>J</t>
    </r>
    <r>
      <rPr>
        <vertAlign val="subscript"/>
        <sz val="12"/>
        <color indexed="8"/>
        <rFont val="Arial"/>
        <family val="2"/>
      </rPr>
      <t>m</t>
    </r>
    <r>
      <rPr>
        <sz val="12"/>
        <color indexed="8"/>
        <rFont val="Arial"/>
        <family val="2"/>
      </rPr>
      <t xml:space="preserve"> = remuneração de capital mensal</t>
    </r>
  </si>
  <si>
    <r>
      <t>V</t>
    </r>
    <r>
      <rPr>
        <vertAlign val="subscript"/>
        <sz val="12"/>
        <color indexed="8"/>
        <rFont val="Arial"/>
        <family val="2"/>
      </rPr>
      <t>0</t>
    </r>
    <r>
      <rPr>
        <sz val="12"/>
        <color indexed="8"/>
        <rFont val="Arial"/>
        <family val="2"/>
      </rPr>
      <t xml:space="preserve"> = valor inicial do bem</t>
    </r>
  </si>
  <si>
    <r>
      <t>V</t>
    </r>
    <r>
      <rPr>
        <vertAlign val="subscript"/>
        <sz val="12"/>
        <color indexed="8"/>
        <rFont val="Arial"/>
        <family val="2"/>
      </rPr>
      <t>r</t>
    </r>
    <r>
      <rPr>
        <sz val="12"/>
        <color indexed="8"/>
        <rFont val="Arial"/>
        <family val="2"/>
      </rPr>
      <t xml:space="preserve"> = valor residual do bem</t>
    </r>
  </si>
  <si>
    <t>6. Remuneração de Capital</t>
  </si>
  <si>
    <t>Custo unitário</t>
  </si>
  <si>
    <t>CÁLCULO DAS VERBAS INDENIZATÓRIAS DOS EMPREGADOS NO SETOR DE COLETA DE RSU</t>
  </si>
  <si>
    <t>1/3 de férias (dias)</t>
  </si>
  <si>
    <t>Férias (dias)</t>
  </si>
  <si>
    <t>13º Salário (dias)</t>
  </si>
  <si>
    <t>Referência estudo TCE</t>
  </si>
  <si>
    <t>Rotatividade temporal (meses)</t>
  </si>
  <si>
    <t>Fórmula de cálculo da remuneração de capital:</t>
  </si>
  <si>
    <t>Durabilidade (meses)</t>
  </si>
  <si>
    <t>Consumo</t>
  </si>
  <si>
    <t>Total da frota</t>
  </si>
  <si>
    <t>Estoque recuperado início do Período 01-09-2016</t>
  </si>
  <si>
    <t>Estoque recuperado final do Período 31-08-2017</t>
  </si>
  <si>
    <t>Variação Emprego Absoluta de 01-09-2016 a 31-08-2017</t>
  </si>
  <si>
    <t>i</t>
  </si>
  <si>
    <t>Depreciação Média</t>
  </si>
  <si>
    <t>1.2. Operador Turno Dia</t>
  </si>
  <si>
    <t>Total por Operador</t>
  </si>
  <si>
    <t>Vale Transporte</t>
  </si>
  <si>
    <t>Dias Trabalhados por mês</t>
  </si>
  <si>
    <t>vale</t>
  </si>
  <si>
    <t>-</t>
  </si>
  <si>
    <t>Botina de segurança</t>
  </si>
  <si>
    <t>Capa de chuva com reflexivo</t>
  </si>
  <si>
    <t>Protetor auricular</t>
  </si>
  <si>
    <t>2.1. Uniformes e EPIs para Separadores</t>
  </si>
  <si>
    <t>Depreciação mensal veículo</t>
  </si>
  <si>
    <t>Lavador a Jato</t>
  </si>
  <si>
    <t>Custo de manutenção da retroescavadeira</t>
  </si>
  <si>
    <t>3.2.1. Depreciação</t>
  </si>
  <si>
    <t>3.2.2. Remuneração do Capital</t>
  </si>
  <si>
    <t>Carga horária de trabalho mensal</t>
  </si>
  <si>
    <t>Custo de óleo diesel / h trabalhada</t>
  </si>
  <si>
    <t>Custo de óleo do motor /1.000 h</t>
  </si>
  <si>
    <t>Custo de óleo da transmissão /1.000 h</t>
  </si>
  <si>
    <t>Custo de óleo hidráulico / 1.000 h</t>
  </si>
  <si>
    <t>Custo de graxa /1.000 h</t>
  </si>
  <si>
    <t>Custo com consumos/h trabalhada</t>
  </si>
  <si>
    <t>h</t>
  </si>
  <si>
    <t>R$/h trabalhada</t>
  </si>
  <si>
    <t>Custo do jogo de pneus dianteiros 17,5 - 14</t>
  </si>
  <si>
    <t>Custo do jogo de pneus traseiros 19,5 - 24</t>
  </si>
  <si>
    <t>Custo jogo completo/ h trabalhada</t>
  </si>
  <si>
    <t>h/jogo</t>
  </si>
  <si>
    <t>L/h</t>
  </si>
  <si>
    <t xml:space="preserve">1. Triagem e Transbordo de Resíduos Sólidos </t>
  </si>
  <si>
    <t>Total de Veículos e Equipamentos</t>
  </si>
  <si>
    <t>l/100 h</t>
  </si>
  <si>
    <t>kg/100 h</t>
  </si>
  <si>
    <t>PREÇO TOTAL MENSAL</t>
  </si>
  <si>
    <t>Capecete de segurança</t>
  </si>
  <si>
    <t>Óculos de segurança</t>
  </si>
  <si>
    <t>Capacete de segurança</t>
  </si>
  <si>
    <t>Respirador</t>
  </si>
  <si>
    <t>Custo de aquisição do prensa</t>
  </si>
  <si>
    <t>Idade do equipamento</t>
  </si>
  <si>
    <t>Vida útil do equipamento</t>
  </si>
  <si>
    <t>Depreciação do equipamento</t>
  </si>
  <si>
    <t>Bebedouro</t>
  </si>
  <si>
    <t>Total</t>
  </si>
  <si>
    <t>3.1. Retroescavadeira</t>
  </si>
  <si>
    <t>3.2. Prensa</t>
  </si>
  <si>
    <t>S</t>
  </si>
  <si>
    <t>5. Benefícios e Despesas Indiretas - BDI</t>
  </si>
  <si>
    <t>Lucro</t>
  </si>
  <si>
    <t>Reincidência de FGTS sobre aviso prévio indenizado</t>
  </si>
  <si>
    <t>1.3. Gerente</t>
  </si>
  <si>
    <t>1.4. Vale Transporte</t>
  </si>
  <si>
    <t>1.5. Vale-refeição (diário)</t>
  </si>
  <si>
    <t>1.6. Auxílio Alimentação (mensal)</t>
  </si>
  <si>
    <t>1.7. Plano de benefício social familiar (mensal)</t>
  </si>
  <si>
    <t>1.1. Catador de material reciclável (CBO 5192)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</si>
</sst>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0_);_(* \(#,##0.000\);_(* &quot;-&quot;??_);_(@_)"/>
    <numFmt numFmtId="167" formatCode="0.0000"/>
  </numFmts>
  <fonts count="2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2"/>
      <color theme="1"/>
      <name val="Arial"/>
      <family val="2"/>
    </font>
    <font>
      <vertAlign val="subscript"/>
      <sz val="12"/>
      <color indexed="8"/>
      <name val="Arial"/>
      <family val="2"/>
    </font>
    <font>
      <sz val="12"/>
      <color indexed="8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3"/>
      <color theme="1"/>
      <name val="Arial"/>
      <family val="2"/>
    </font>
    <font>
      <sz val="10"/>
      <color theme="1"/>
      <name val="Arial"/>
      <family val="2"/>
    </font>
    <font>
      <b/>
      <sz val="12"/>
      <color rgb="FFFF0000"/>
      <name val="Arial"/>
      <family val="2"/>
    </font>
    <font>
      <sz val="10"/>
      <name val="Arial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26" fillId="0" borderId="0" applyFont="0" applyFill="0" applyBorder="0" applyAlignment="0" applyProtection="0"/>
  </cellStyleXfs>
  <cellXfs count="322">
    <xf numFmtId="0" fontId="0" fillId="0" borderId="0" xfId="0"/>
    <xf numFmtId="0" fontId="6" fillId="0" borderId="0" xfId="0" applyFont="1"/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0" fillId="0" borderId="0" xfId="0" applyAlignment="1">
      <alignment horizontal="center"/>
    </xf>
    <xf numFmtId="4" fontId="6" fillId="0" borderId="0" xfId="0" applyNumberFormat="1" applyFont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14" fillId="0" borderId="0" xfId="0" applyFont="1" applyFill="1" applyAlignment="1">
      <alignment vertical="center"/>
    </xf>
    <xf numFmtId="0" fontId="15" fillId="0" borderId="13" xfId="0" applyFont="1" applyBorder="1"/>
    <xf numFmtId="0" fontId="6" fillId="0" borderId="0" xfId="0" applyFont="1" applyBorder="1"/>
    <xf numFmtId="0" fontId="15" fillId="0" borderId="43" xfId="0" applyFont="1" applyBorder="1"/>
    <xf numFmtId="0" fontId="15" fillId="2" borderId="19" xfId="0" applyFont="1" applyFill="1" applyBorder="1"/>
    <xf numFmtId="0" fontId="15" fillId="0" borderId="22" xfId="0" applyFont="1" applyBorder="1"/>
    <xf numFmtId="0" fontId="15" fillId="0" borderId="47" xfId="0" applyFont="1" applyBorder="1"/>
    <xf numFmtId="0" fontId="15" fillId="0" borderId="44" xfId="0" applyFont="1" applyBorder="1"/>
    <xf numFmtId="0" fontId="15" fillId="0" borderId="48" xfId="0" applyFont="1" applyBorder="1"/>
    <xf numFmtId="0" fontId="15" fillId="0" borderId="19" xfId="0" applyFont="1" applyBorder="1"/>
    <xf numFmtId="0" fontId="15" fillId="0" borderId="27" xfId="0" applyFont="1" applyBorder="1"/>
    <xf numFmtId="2" fontId="16" fillId="5" borderId="1" xfId="0" applyNumberFormat="1" applyFont="1" applyFill="1" applyBorder="1" applyAlignment="1">
      <alignment horizontal="right" vertical="center"/>
    </xf>
    <xf numFmtId="0" fontId="16" fillId="0" borderId="2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2" fontId="16" fillId="5" borderId="34" xfId="0" applyNumberFormat="1" applyFont="1" applyFill="1" applyBorder="1" applyAlignment="1">
      <alignment horizontal="right" vertical="center"/>
    </xf>
    <xf numFmtId="0" fontId="16" fillId="0" borderId="22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0" borderId="19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10" fontId="16" fillId="0" borderId="19" xfId="0" applyNumberFormat="1" applyFont="1" applyBorder="1" applyAlignment="1">
      <alignment horizontal="right" vertical="center"/>
    </xf>
    <xf numFmtId="0" fontId="16" fillId="0" borderId="0" xfId="0" applyFont="1" applyFill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10" fontId="20" fillId="0" borderId="19" xfId="0" applyNumberFormat="1" applyFont="1" applyBorder="1" applyAlignment="1">
      <alignment horizontal="right" vertical="center"/>
    </xf>
    <xf numFmtId="0" fontId="16" fillId="4" borderId="22" xfId="0" applyFont="1" applyFill="1" applyBorder="1" applyAlignment="1">
      <alignment horizontal="left" vertical="center"/>
    </xf>
    <xf numFmtId="0" fontId="20" fillId="4" borderId="1" xfId="0" applyFont="1" applyFill="1" applyBorder="1" applyAlignment="1">
      <alignment horizontal="left" vertical="center"/>
    </xf>
    <xf numFmtId="10" fontId="20" fillId="4" borderId="19" xfId="0" applyNumberFormat="1" applyFont="1" applyFill="1" applyBorder="1" applyAlignment="1">
      <alignment horizontal="right" vertical="center"/>
    </xf>
    <xf numFmtId="0" fontId="21" fillId="0" borderId="1" xfId="0" applyFont="1" applyBorder="1" applyAlignment="1">
      <alignment horizontal="left" vertical="center"/>
    </xf>
    <xf numFmtId="0" fontId="22" fillId="0" borderId="0" xfId="0" applyFont="1" applyFill="1" applyBorder="1" applyAlignment="1">
      <alignment horizontal="left" vertical="center"/>
    </xf>
    <xf numFmtId="10" fontId="6" fillId="0" borderId="0" xfId="0" applyNumberFormat="1" applyFont="1"/>
    <xf numFmtId="9" fontId="16" fillId="0" borderId="0" xfId="2" applyFont="1" applyBorder="1" applyAlignment="1">
      <alignment horizontal="right" vertical="center"/>
    </xf>
    <xf numFmtId="10" fontId="6" fillId="0" borderId="0" xfId="0" applyNumberFormat="1" applyFont="1" applyBorder="1"/>
    <xf numFmtId="0" fontId="16" fillId="0" borderId="1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/>
    </xf>
    <xf numFmtId="0" fontId="16" fillId="7" borderId="23" xfId="0" applyFont="1" applyFill="1" applyBorder="1" applyAlignment="1">
      <alignment horizontal="left" vertical="center"/>
    </xf>
    <xf numFmtId="0" fontId="20" fillId="7" borderId="34" xfId="0" applyFont="1" applyFill="1" applyBorder="1" applyAlignment="1">
      <alignment horizontal="left" vertical="center"/>
    </xf>
    <xf numFmtId="10" fontId="20" fillId="7" borderId="35" xfId="0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left" vertical="center"/>
    </xf>
    <xf numFmtId="10" fontId="20" fillId="0" borderId="0" xfId="0" applyNumberFormat="1" applyFont="1" applyFill="1" applyBorder="1" applyAlignment="1">
      <alignment horizontal="right" vertical="center"/>
    </xf>
    <xf numFmtId="0" fontId="22" fillId="3" borderId="0" xfId="0" applyFont="1" applyFill="1" applyBorder="1" applyAlignment="1">
      <alignment horizontal="left" vertical="center"/>
    </xf>
    <xf numFmtId="10" fontId="16" fillId="0" borderId="0" xfId="0" applyNumberFormat="1" applyFont="1" applyFill="1" applyBorder="1" applyAlignment="1">
      <alignment horizontal="right" vertical="center"/>
    </xf>
    <xf numFmtId="0" fontId="16" fillId="3" borderId="0" xfId="0" applyFont="1" applyFill="1" applyBorder="1" applyAlignment="1">
      <alignment horizontal="left" vertical="center"/>
    </xf>
    <xf numFmtId="10" fontId="16" fillId="0" borderId="0" xfId="0" applyNumberFormat="1" applyFont="1" applyBorder="1" applyAlignment="1">
      <alignment horizontal="right" vertical="center"/>
    </xf>
    <xf numFmtId="0" fontId="20" fillId="0" borderId="0" xfId="0" applyFont="1" applyBorder="1" applyAlignment="1">
      <alignment horizontal="left" vertical="center"/>
    </xf>
    <xf numFmtId="10" fontId="20" fillId="0" borderId="0" xfId="0" applyNumberFormat="1" applyFont="1" applyBorder="1" applyAlignment="1">
      <alignment horizontal="right" vertical="center"/>
    </xf>
    <xf numFmtId="0" fontId="23" fillId="0" borderId="0" xfId="0" applyFont="1" applyBorder="1" applyAlignment="1">
      <alignment horizontal="justify" vertical="center"/>
    </xf>
    <xf numFmtId="0" fontId="8" fillId="0" borderId="0" xfId="1" applyFont="1" applyBorder="1" applyAlignment="1" applyProtection="1">
      <alignment horizontal="left" vertical="center"/>
    </xf>
    <xf numFmtId="0" fontId="24" fillId="0" borderId="0" xfId="0" applyFont="1" applyBorder="1"/>
    <xf numFmtId="0" fontId="16" fillId="0" borderId="0" xfId="0" applyFont="1" applyBorder="1" applyAlignment="1">
      <alignment horizontal="right" vertical="center"/>
    </xf>
    <xf numFmtId="0" fontId="8" fillId="0" borderId="0" xfId="1" applyFont="1" applyBorder="1" applyAlignment="1" applyProtection="1">
      <alignment vertical="center"/>
    </xf>
    <xf numFmtId="0" fontId="5" fillId="0" borderId="14" xfId="0" applyFont="1" applyBorder="1"/>
    <xf numFmtId="0" fontId="5" fillId="0" borderId="22" xfId="0" applyFont="1" applyBorder="1"/>
    <xf numFmtId="0" fontId="5" fillId="2" borderId="19" xfId="0" applyFont="1" applyFill="1" applyBorder="1"/>
    <xf numFmtId="0" fontId="5" fillId="0" borderId="43" xfId="0" applyFont="1" applyBorder="1"/>
    <xf numFmtId="0" fontId="5" fillId="2" borderId="44" xfId="0" applyFont="1" applyFill="1" applyBorder="1"/>
    <xf numFmtId="0" fontId="5" fillId="0" borderId="45" xfId="0" applyFont="1" applyBorder="1"/>
    <xf numFmtId="0" fontId="5" fillId="2" borderId="46" xfId="0" applyFont="1" applyFill="1" applyBorder="1"/>
    <xf numFmtId="0" fontId="5" fillId="0" borderId="36" xfId="0" applyFont="1" applyBorder="1"/>
    <xf numFmtId="0" fontId="5" fillId="0" borderId="37" xfId="0" applyFont="1" applyBorder="1"/>
    <xf numFmtId="0" fontId="7" fillId="0" borderId="44" xfId="0" applyFont="1" applyBorder="1"/>
    <xf numFmtId="9" fontId="7" fillId="0" borderId="44" xfId="0" applyNumberFormat="1" applyFont="1" applyBorder="1"/>
    <xf numFmtId="0" fontId="7" fillId="0" borderId="36" xfId="0" applyFont="1" applyFill="1" applyBorder="1" applyAlignment="1">
      <alignment horizontal="left" vertical="center"/>
    </xf>
    <xf numFmtId="0" fontId="5" fillId="0" borderId="0" xfId="0" applyFont="1" applyBorder="1"/>
    <xf numFmtId="9" fontId="5" fillId="0" borderId="22" xfId="2" applyFont="1" applyBorder="1"/>
    <xf numFmtId="9" fontId="5" fillId="0" borderId="1" xfId="2" applyFont="1" applyBorder="1" applyAlignment="1">
      <alignment horizontal="center"/>
    </xf>
    <xf numFmtId="9" fontId="5" fillId="0" borderId="19" xfId="2" applyFont="1" applyBorder="1"/>
    <xf numFmtId="0" fontId="5" fillId="0" borderId="20" xfId="0" applyFont="1" applyFill="1" applyBorder="1" applyAlignment="1">
      <alignment horizontal="left" vertical="center"/>
    </xf>
    <xf numFmtId="0" fontId="5" fillId="0" borderId="21" xfId="0" applyFont="1" applyFill="1" applyBorder="1" applyAlignment="1">
      <alignment horizontal="center" vertical="center"/>
    </xf>
    <xf numFmtId="10" fontId="5" fillId="2" borderId="11" xfId="0" applyNumberFormat="1" applyFont="1" applyFill="1" applyBorder="1" applyAlignment="1">
      <alignment horizontal="center" vertical="center"/>
    </xf>
    <xf numFmtId="10" fontId="5" fillId="0" borderId="19" xfId="2" applyNumberFormat="1" applyFont="1" applyBorder="1"/>
    <xf numFmtId="0" fontId="5" fillId="0" borderId="22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10" fontId="5" fillId="2" borderId="19" xfId="0" applyNumberFormat="1" applyFont="1" applyFill="1" applyBorder="1" applyAlignment="1">
      <alignment horizontal="center" vertical="center"/>
    </xf>
    <xf numFmtId="10" fontId="5" fillId="2" borderId="1" xfId="2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0" borderId="19" xfId="0" applyFont="1" applyBorder="1"/>
    <xf numFmtId="0" fontId="5" fillId="0" borderId="23" xfId="0" applyFont="1" applyFill="1" applyBorder="1" applyAlignment="1">
      <alignment horizontal="left" vertical="center"/>
    </xf>
    <xf numFmtId="10" fontId="5" fillId="2" borderId="35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4" xfId="0" applyFont="1" applyFill="1" applyBorder="1" applyAlignment="1">
      <alignment vertical="center"/>
    </xf>
    <xf numFmtId="0" fontId="5" fillId="0" borderId="25" xfId="0" applyFont="1" applyFill="1" applyBorder="1" applyAlignment="1">
      <alignment vertical="center"/>
    </xf>
    <xf numFmtId="10" fontId="5" fillId="0" borderId="26" xfId="0" applyNumberFormat="1" applyFont="1" applyFill="1" applyBorder="1" applyAlignment="1">
      <alignment vertical="center"/>
    </xf>
    <xf numFmtId="0" fontId="5" fillId="0" borderId="27" xfId="0" applyFont="1" applyFill="1" applyBorder="1" applyAlignment="1">
      <alignment horizontal="left" vertical="center"/>
    </xf>
    <xf numFmtId="0" fontId="5" fillId="0" borderId="28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vertical="center"/>
    </xf>
    <xf numFmtId="0" fontId="7" fillId="4" borderId="5" xfId="0" applyFont="1" applyFill="1" applyBorder="1" applyAlignment="1">
      <alignment vertical="center" wrapText="1"/>
    </xf>
    <xf numFmtId="0" fontId="5" fillId="4" borderId="6" xfId="0" applyFont="1" applyFill="1" applyBorder="1" applyAlignment="1">
      <alignment vertical="center"/>
    </xf>
    <xf numFmtId="10" fontId="7" fillId="4" borderId="7" xfId="0" applyNumberFormat="1" applyFont="1" applyFill="1" applyBorder="1" applyAlignment="1">
      <alignment horizontal="center" vertical="center" wrapText="1"/>
    </xf>
    <xf numFmtId="10" fontId="5" fillId="0" borderId="22" xfId="2" applyNumberFormat="1" applyFont="1" applyBorder="1" applyAlignment="1">
      <alignment horizontal="right"/>
    </xf>
    <xf numFmtId="10" fontId="5" fillId="0" borderId="1" xfId="2" applyNumberFormat="1" applyFont="1" applyBorder="1" applyAlignment="1">
      <alignment horizontal="right"/>
    </xf>
    <xf numFmtId="10" fontId="5" fillId="0" borderId="19" xfId="2" applyNumberFormat="1" applyFont="1" applyBorder="1" applyAlignment="1">
      <alignment horizontal="right"/>
    </xf>
    <xf numFmtId="10" fontId="5" fillId="0" borderId="23" xfId="2" applyNumberFormat="1" applyFont="1" applyBorder="1" applyAlignment="1">
      <alignment horizontal="right"/>
    </xf>
    <xf numFmtId="10" fontId="5" fillId="0" borderId="34" xfId="2" applyNumberFormat="1" applyFont="1" applyBorder="1" applyAlignment="1">
      <alignment horizontal="right"/>
    </xf>
    <xf numFmtId="10" fontId="5" fillId="0" borderId="35" xfId="2" applyNumberFormat="1" applyFont="1" applyBorder="1" applyAlignment="1">
      <alignment horizontal="right"/>
    </xf>
    <xf numFmtId="0" fontId="6" fillId="0" borderId="50" xfId="0" applyFont="1" applyBorder="1"/>
    <xf numFmtId="0" fontId="17" fillId="0" borderId="50" xfId="0" applyFont="1" applyBorder="1" applyAlignment="1">
      <alignment horizontal="justify"/>
    </xf>
    <xf numFmtId="0" fontId="17" fillId="0" borderId="51" xfId="0" applyFont="1" applyBorder="1" applyAlignment="1">
      <alignment horizontal="justify"/>
    </xf>
    <xf numFmtId="0" fontId="14" fillId="8" borderId="49" xfId="0" applyFont="1" applyFill="1" applyBorder="1" applyAlignment="1">
      <alignment horizontal="center"/>
    </xf>
    <xf numFmtId="0" fontId="4" fillId="0" borderId="3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/>
    </xf>
    <xf numFmtId="167" fontId="15" fillId="0" borderId="44" xfId="0" applyNumberFormat="1" applyFont="1" applyBorder="1"/>
    <xf numFmtId="167" fontId="7" fillId="0" borderId="44" xfId="0" applyNumberFormat="1" applyFont="1" applyBorder="1"/>
    <xf numFmtId="167" fontId="7" fillId="0" borderId="30" xfId="0" applyNumberFormat="1" applyFont="1" applyBorder="1"/>
    <xf numFmtId="0" fontId="5" fillId="0" borderId="22" xfId="0" applyFont="1" applyBorder="1" applyAlignment="1">
      <alignment horizontal="right"/>
    </xf>
    <xf numFmtId="164" fontId="3" fillId="3" borderId="0" xfId="3" applyFont="1" applyFill="1" applyBorder="1" applyAlignment="1">
      <alignment horizontal="center" vertical="center"/>
    </xf>
    <xf numFmtId="164" fontId="3" fillId="3" borderId="0" xfId="3" applyFont="1" applyFill="1" applyBorder="1" applyAlignment="1">
      <alignment vertical="center"/>
    </xf>
    <xf numFmtId="164" fontId="6" fillId="3" borderId="0" xfId="3" applyFont="1" applyFill="1" applyBorder="1" applyAlignment="1">
      <alignment vertical="center"/>
    </xf>
    <xf numFmtId="164" fontId="3" fillId="3" borderId="38" xfId="3" applyFont="1" applyFill="1" applyBorder="1" applyAlignment="1">
      <alignment vertical="center"/>
    </xf>
    <xf numFmtId="0" fontId="1" fillId="3" borderId="0" xfId="0" applyFont="1" applyFill="1" applyAlignment="1">
      <alignment vertical="center"/>
    </xf>
    <xf numFmtId="4" fontId="0" fillId="3" borderId="0" xfId="0" applyNumberFormat="1" applyFill="1" applyAlignment="1">
      <alignment vertical="center"/>
    </xf>
    <xf numFmtId="164" fontId="0" fillId="3" borderId="0" xfId="3" applyFont="1" applyFill="1" applyAlignment="1">
      <alignment vertical="center"/>
    </xf>
    <xf numFmtId="0" fontId="0" fillId="3" borderId="0" xfId="0" applyFill="1" applyAlignment="1">
      <alignment vertical="center"/>
    </xf>
    <xf numFmtId="164" fontId="5" fillId="3" borderId="0" xfId="3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0" fillId="3" borderId="36" xfId="0" applyFill="1" applyBorder="1" applyAlignment="1">
      <alignment vertical="center"/>
    </xf>
    <xf numFmtId="4" fontId="0" fillId="3" borderId="0" xfId="0" applyNumberFormat="1" applyFill="1" applyBorder="1" applyAlignment="1">
      <alignment vertical="center"/>
    </xf>
    <xf numFmtId="164" fontId="0" fillId="3" borderId="0" xfId="3" applyFont="1" applyFill="1" applyBorder="1" applyAlignment="1">
      <alignment vertical="center"/>
    </xf>
    <xf numFmtId="164" fontId="0" fillId="3" borderId="37" xfId="3" applyFont="1" applyFill="1" applyBorder="1" applyAlignment="1">
      <alignment vertical="center"/>
    </xf>
    <xf numFmtId="164" fontId="3" fillId="3" borderId="18" xfId="3" applyFont="1" applyFill="1" applyBorder="1" applyAlignment="1">
      <alignment horizontal="center" vertical="center"/>
    </xf>
    <xf numFmtId="164" fontId="0" fillId="3" borderId="10" xfId="3" applyFont="1" applyFill="1" applyBorder="1" applyAlignment="1">
      <alignment vertical="center"/>
    </xf>
    <xf numFmtId="164" fontId="3" fillId="3" borderId="10" xfId="3" applyFont="1" applyFill="1" applyBorder="1" applyAlignment="1">
      <alignment vertical="center"/>
    </xf>
    <xf numFmtId="164" fontId="3" fillId="3" borderId="33" xfId="3" applyFont="1" applyFill="1" applyBorder="1" applyAlignment="1">
      <alignment vertical="center"/>
    </xf>
    <xf numFmtId="164" fontId="3" fillId="3" borderId="11" xfId="3" applyFont="1" applyFill="1" applyBorder="1" applyAlignment="1">
      <alignment horizontal="center" vertical="center"/>
    </xf>
    <xf numFmtId="164" fontId="3" fillId="3" borderId="13" xfId="3" applyFont="1" applyFill="1" applyBorder="1" applyAlignment="1">
      <alignment vertical="center"/>
    </xf>
    <xf numFmtId="164" fontId="3" fillId="3" borderId="9" xfId="0" applyNumberFormat="1" applyFont="1" applyFill="1" applyBorder="1" applyAlignment="1">
      <alignment vertical="center"/>
    </xf>
    <xf numFmtId="164" fontId="3" fillId="3" borderId="9" xfId="3" applyFont="1" applyFill="1" applyBorder="1" applyAlignment="1">
      <alignment vertical="center"/>
    </xf>
    <xf numFmtId="10" fontId="3" fillId="3" borderId="14" xfId="2" applyNumberFormat="1" applyFont="1" applyFill="1" applyBorder="1" applyAlignment="1">
      <alignment vertical="center"/>
    </xf>
    <xf numFmtId="164" fontId="3" fillId="3" borderId="0" xfId="3" applyFont="1" applyFill="1" applyAlignment="1">
      <alignment vertical="center"/>
    </xf>
    <xf numFmtId="0" fontId="3" fillId="3" borderId="0" xfId="0" applyFont="1" applyFill="1" applyAlignment="1">
      <alignment vertical="center"/>
    </xf>
    <xf numFmtId="164" fontId="0" fillId="3" borderId="13" xfId="3" applyFont="1" applyFill="1" applyBorder="1" applyAlignment="1">
      <alignment vertical="center"/>
    </xf>
    <xf numFmtId="164" fontId="0" fillId="3" borderId="9" xfId="0" applyNumberFormat="1" applyFill="1" applyBorder="1" applyAlignment="1">
      <alignment vertical="center"/>
    </xf>
    <xf numFmtId="164" fontId="0" fillId="3" borderId="9" xfId="3" applyFont="1" applyFill="1" applyBorder="1" applyAlignment="1">
      <alignment vertical="center"/>
    </xf>
    <xf numFmtId="164" fontId="3" fillId="3" borderId="13" xfId="3" applyFont="1" applyFill="1" applyBorder="1" applyAlignment="1">
      <alignment horizontal="left" vertical="center"/>
    </xf>
    <xf numFmtId="4" fontId="3" fillId="3" borderId="9" xfId="0" applyNumberFormat="1" applyFont="1" applyFill="1" applyBorder="1" applyAlignment="1">
      <alignment horizontal="centerContinuous" vertical="center"/>
    </xf>
    <xf numFmtId="164" fontId="1" fillId="3" borderId="13" xfId="3" applyFont="1" applyFill="1" applyBorder="1" applyAlignment="1">
      <alignment horizontal="left" vertical="center"/>
    </xf>
    <xf numFmtId="4" fontId="0" fillId="3" borderId="9" xfId="0" applyNumberFormat="1" applyFill="1" applyBorder="1" applyAlignment="1">
      <alignment horizontal="centerContinuous" vertical="center"/>
    </xf>
    <xf numFmtId="164" fontId="3" fillId="3" borderId="47" xfId="3" applyFont="1" applyFill="1" applyBorder="1" applyAlignment="1">
      <alignment horizontal="left" vertical="center"/>
    </xf>
    <xf numFmtId="4" fontId="3" fillId="3" borderId="28" xfId="0" applyNumberFormat="1" applyFont="1" applyFill="1" applyBorder="1" applyAlignment="1">
      <alignment horizontal="centerContinuous" vertical="center"/>
    </xf>
    <xf numFmtId="164" fontId="3" fillId="3" borderId="28" xfId="3" applyFont="1" applyFill="1" applyBorder="1" applyAlignment="1">
      <alignment vertical="center"/>
    </xf>
    <xf numFmtId="9" fontId="3" fillId="3" borderId="30" xfId="2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164" fontId="6" fillId="3" borderId="0" xfId="3" applyFont="1" applyFill="1" applyAlignment="1">
      <alignment vertical="center"/>
    </xf>
    <xf numFmtId="164" fontId="3" fillId="3" borderId="12" xfId="3" applyFont="1" applyFill="1" applyBorder="1" applyAlignment="1">
      <alignment horizontal="right" vertical="center"/>
    </xf>
    <xf numFmtId="164" fontId="6" fillId="3" borderId="18" xfId="3" applyFont="1" applyFill="1" applyBorder="1" applyAlignment="1">
      <alignment vertical="center"/>
    </xf>
    <xf numFmtId="164" fontId="6" fillId="3" borderId="10" xfId="3" applyFont="1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1" fontId="6" fillId="3" borderId="11" xfId="3" applyNumberFormat="1" applyFont="1" applyFill="1" applyBorder="1" applyAlignment="1">
      <alignment horizontal="center" vertical="center"/>
    </xf>
    <xf numFmtId="164" fontId="6" fillId="3" borderId="13" xfId="3" applyFont="1" applyFill="1" applyBorder="1" applyAlignment="1">
      <alignment vertical="center"/>
    </xf>
    <xf numFmtId="164" fontId="6" fillId="3" borderId="9" xfId="3" applyFont="1" applyFill="1" applyBorder="1" applyAlignment="1">
      <alignment vertical="center"/>
    </xf>
    <xf numFmtId="0" fontId="0" fillId="3" borderId="9" xfId="0" applyFill="1" applyBorder="1" applyAlignment="1">
      <alignment vertical="center"/>
    </xf>
    <xf numFmtId="1" fontId="6" fillId="3" borderId="19" xfId="3" applyNumberFormat="1" applyFont="1" applyFill="1" applyBorder="1" applyAlignment="1">
      <alignment horizontal="center" vertical="center"/>
    </xf>
    <xf numFmtId="164" fontId="3" fillId="3" borderId="27" xfId="3" applyFont="1" applyFill="1" applyBorder="1" applyAlignment="1">
      <alignment vertical="center"/>
    </xf>
    <xf numFmtId="4" fontId="3" fillId="3" borderId="28" xfId="0" applyNumberFormat="1" applyFont="1" applyFill="1" applyBorder="1" applyAlignment="1">
      <alignment vertical="center"/>
    </xf>
    <xf numFmtId="0" fontId="0" fillId="3" borderId="28" xfId="0" applyFill="1" applyBorder="1" applyAlignment="1">
      <alignment vertical="center"/>
    </xf>
    <xf numFmtId="1" fontId="3" fillId="3" borderId="30" xfId="3" applyNumberFormat="1" applyFont="1" applyFill="1" applyBorder="1" applyAlignment="1">
      <alignment horizontal="center" vertical="center"/>
    </xf>
    <xf numFmtId="164" fontId="3" fillId="3" borderId="36" xfId="3" applyFont="1" applyFill="1" applyBorder="1" applyAlignment="1">
      <alignment vertical="center"/>
    </xf>
    <xf numFmtId="4" fontId="3" fillId="3" borderId="0" xfId="0" applyNumberFormat="1" applyFont="1" applyFill="1" applyBorder="1" applyAlignment="1">
      <alignment vertical="center"/>
    </xf>
    <xf numFmtId="164" fontId="6" fillId="3" borderId="37" xfId="3" applyFont="1" applyFill="1" applyBorder="1" applyAlignment="1">
      <alignment vertical="center"/>
    </xf>
    <xf numFmtId="164" fontId="6" fillId="3" borderId="1" xfId="3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1" fontId="6" fillId="3" borderId="1" xfId="3" applyNumberFormat="1" applyFont="1" applyFill="1" applyBorder="1" applyAlignment="1">
      <alignment horizontal="center" vertical="center"/>
    </xf>
    <xf numFmtId="164" fontId="3" fillId="3" borderId="1" xfId="3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1" fontId="3" fillId="3" borderId="1" xfId="3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165" fontId="6" fillId="3" borderId="0" xfId="3" applyNumberFormat="1" applyFont="1" applyFill="1" applyBorder="1" applyAlignment="1">
      <alignment horizontal="center" vertical="center"/>
    </xf>
    <xf numFmtId="164" fontId="3" fillId="3" borderId="5" xfId="3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165" fontId="3" fillId="3" borderId="0" xfId="3" applyNumberFormat="1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164" fontId="10" fillId="3" borderId="16" xfId="3" applyFont="1" applyFill="1" applyBorder="1" applyAlignment="1">
      <alignment horizontal="center" vertical="center"/>
    </xf>
    <xf numFmtId="164" fontId="10" fillId="3" borderId="17" xfId="3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164" fontId="6" fillId="3" borderId="2" xfId="3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4" fontId="6" fillId="3" borderId="1" xfId="3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/>
    </xf>
    <xf numFmtId="0" fontId="3" fillId="3" borderId="0" xfId="0" applyFont="1" applyFill="1" applyAlignment="1">
      <alignment horizontal="center" vertical="center"/>
    </xf>
    <xf numFmtId="164" fontId="3" fillId="3" borderId="0" xfId="3" applyFont="1" applyFill="1" applyAlignment="1">
      <alignment horizontal="center" vertical="center"/>
    </xf>
    <xf numFmtId="164" fontId="3" fillId="3" borderId="3" xfId="3" applyFont="1" applyFill="1" applyBorder="1" applyAlignment="1">
      <alignment horizontal="center" vertical="center"/>
    </xf>
    <xf numFmtId="164" fontId="6" fillId="3" borderId="0" xfId="3" applyFont="1" applyFill="1" applyAlignment="1">
      <alignment horizontal="right" vertical="center"/>
    </xf>
    <xf numFmtId="164" fontId="3" fillId="3" borderId="7" xfId="3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/>
    </xf>
    <xf numFmtId="164" fontId="3" fillId="3" borderId="1" xfId="3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164" fontId="3" fillId="3" borderId="9" xfId="3" applyFont="1" applyFill="1" applyBorder="1" applyAlignment="1">
      <alignment horizontal="center" vertical="center"/>
    </xf>
    <xf numFmtId="164" fontId="6" fillId="3" borderId="0" xfId="3" applyFont="1" applyFill="1" applyBorder="1" applyAlignment="1">
      <alignment horizontal="center" vertical="center"/>
    </xf>
    <xf numFmtId="0" fontId="1" fillId="3" borderId="0" xfId="0" applyFont="1" applyFill="1" applyAlignment="1">
      <alignment horizontal="right" vertical="center"/>
    </xf>
    <xf numFmtId="164" fontId="1" fillId="3" borderId="0" xfId="3" applyFont="1" applyFill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165" fontId="1" fillId="3" borderId="1" xfId="3" applyNumberFormat="1" applyFont="1" applyFill="1" applyBorder="1" applyAlignment="1">
      <alignment horizontal="center" vertical="center"/>
    </xf>
    <xf numFmtId="164" fontId="1" fillId="3" borderId="1" xfId="3" applyFont="1" applyFill="1" applyBorder="1" applyAlignment="1">
      <alignment horizontal="center" vertical="center"/>
    </xf>
    <xf numFmtId="165" fontId="1" fillId="3" borderId="1" xfId="3" applyNumberFormat="1" applyFont="1" applyFill="1" applyBorder="1" applyAlignment="1">
      <alignment vertical="center"/>
    </xf>
    <xf numFmtId="43" fontId="1" fillId="3" borderId="2" xfId="3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vertical="center"/>
    </xf>
    <xf numFmtId="164" fontId="10" fillId="3" borderId="30" xfId="3" applyFont="1" applyFill="1" applyBorder="1" applyAlignment="1">
      <alignment horizontal="center" vertical="center"/>
    </xf>
    <xf numFmtId="165" fontId="6" fillId="3" borderId="1" xfId="3" applyNumberFormat="1" applyFont="1" applyFill="1" applyBorder="1" applyAlignment="1">
      <alignment vertical="center"/>
    </xf>
    <xf numFmtId="164" fontId="3" fillId="3" borderId="4" xfId="3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164" fontId="3" fillId="3" borderId="6" xfId="3" applyFont="1" applyFill="1" applyBorder="1" applyAlignment="1">
      <alignment vertical="center"/>
    </xf>
    <xf numFmtId="164" fontId="3" fillId="3" borderId="7" xfId="3" applyFont="1" applyFill="1" applyBorder="1" applyAlignment="1">
      <alignment vertical="center"/>
    </xf>
    <xf numFmtId="0" fontId="10" fillId="3" borderId="1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164" fontId="6" fillId="3" borderId="0" xfId="3" applyFont="1" applyFill="1"/>
    <xf numFmtId="0" fontId="6" fillId="3" borderId="0" xfId="0" applyFont="1" applyFill="1"/>
    <xf numFmtId="0" fontId="6" fillId="3" borderId="6" xfId="0" applyFont="1" applyFill="1" applyBorder="1" applyAlignment="1">
      <alignment vertical="center"/>
    </xf>
    <xf numFmtId="164" fontId="6" fillId="3" borderId="6" xfId="3" applyFont="1" applyFill="1" applyBorder="1" applyAlignment="1">
      <alignment vertical="center"/>
    </xf>
    <xf numFmtId="164" fontId="6" fillId="3" borderId="7" xfId="3" applyFont="1" applyFill="1" applyBorder="1" applyAlignment="1">
      <alignment vertical="center"/>
    </xf>
    <xf numFmtId="164" fontId="3" fillId="3" borderId="4" xfId="3" applyFont="1" applyFill="1" applyBorder="1" applyAlignment="1">
      <alignment horizontal="center" vertical="center"/>
    </xf>
    <xf numFmtId="0" fontId="8" fillId="3" borderId="0" xfId="1" applyFill="1" applyAlignment="1" applyProtection="1">
      <alignment vertical="center"/>
    </xf>
    <xf numFmtId="164" fontId="1" fillId="3" borderId="2" xfId="3" applyFont="1" applyFill="1" applyBorder="1" applyAlignment="1">
      <alignment horizontal="center" vertical="center"/>
    </xf>
    <xf numFmtId="164" fontId="6" fillId="3" borderId="0" xfId="3" applyFont="1" applyFill="1" applyAlignment="1">
      <alignment horizontal="center" vertical="center"/>
    </xf>
    <xf numFmtId="43" fontId="6" fillId="3" borderId="0" xfId="0" applyNumberFormat="1" applyFont="1" applyFill="1" applyAlignment="1">
      <alignment vertical="center"/>
    </xf>
    <xf numFmtId="0" fontId="3" fillId="3" borderId="52" xfId="0" applyFont="1" applyFill="1" applyBorder="1" applyAlignment="1">
      <alignment vertical="center"/>
    </xf>
    <xf numFmtId="0" fontId="3" fillId="3" borderId="52" xfId="0" applyFont="1" applyFill="1" applyBorder="1" applyAlignment="1">
      <alignment horizontal="center" vertical="center"/>
    </xf>
    <xf numFmtId="164" fontId="3" fillId="3" borderId="52" xfId="3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 wrapText="1"/>
    </xf>
    <xf numFmtId="0" fontId="10" fillId="3" borderId="31" xfId="0" applyFont="1" applyFill="1" applyBorder="1" applyAlignment="1">
      <alignment horizontal="center" vertical="center"/>
    </xf>
    <xf numFmtId="0" fontId="10" fillId="3" borderId="32" xfId="0" applyFont="1" applyFill="1" applyBorder="1" applyAlignment="1">
      <alignment horizontal="center" vertical="center"/>
    </xf>
    <xf numFmtId="164" fontId="10" fillId="3" borderId="32" xfId="3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3" fontId="6" fillId="3" borderId="0" xfId="0" applyNumberFormat="1" applyFont="1" applyFill="1" applyAlignment="1">
      <alignment vertical="center"/>
    </xf>
    <xf numFmtId="166" fontId="6" fillId="3" borderId="2" xfId="3" applyNumberFormat="1" applyFont="1" applyFill="1" applyBorder="1" applyAlignment="1">
      <alignment horizontal="center" vertical="center"/>
    </xf>
    <xf numFmtId="165" fontId="6" fillId="3" borderId="1" xfId="3" applyNumberFormat="1" applyFont="1" applyFill="1" applyBorder="1" applyAlignment="1">
      <alignment horizontal="center" vertical="center"/>
    </xf>
    <xf numFmtId="166" fontId="6" fillId="3" borderId="1" xfId="3" applyNumberFormat="1" applyFont="1" applyFill="1" applyBorder="1" applyAlignment="1">
      <alignment horizontal="center" vertical="center"/>
    </xf>
    <xf numFmtId="165" fontId="3" fillId="3" borderId="1" xfId="3" applyNumberFormat="1" applyFont="1" applyFill="1" applyBorder="1" applyAlignment="1">
      <alignment horizontal="center" vertical="center"/>
    </xf>
    <xf numFmtId="166" fontId="3" fillId="3" borderId="1" xfId="3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13" fontId="6" fillId="3" borderId="1" xfId="0" applyNumberFormat="1" applyFont="1" applyFill="1" applyBorder="1" applyAlignment="1"/>
    <xf numFmtId="9" fontId="3" fillId="2" borderId="7" xfId="2" applyFont="1" applyFill="1" applyBorder="1" applyAlignment="1">
      <alignment vertical="center"/>
    </xf>
    <xf numFmtId="164" fontId="6" fillId="2" borderId="2" xfId="3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164" fontId="6" fillId="2" borderId="1" xfId="3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164" fontId="1" fillId="2" borderId="0" xfId="3" applyFont="1" applyFill="1" applyAlignment="1">
      <alignment vertical="center"/>
    </xf>
    <xf numFmtId="164" fontId="6" fillId="2" borderId="1" xfId="3" applyNumberFormat="1" applyFont="1" applyFill="1" applyBorder="1" applyAlignment="1">
      <alignment horizontal="center" vertical="center"/>
    </xf>
    <xf numFmtId="164" fontId="1" fillId="2" borderId="1" xfId="3" applyNumberFormat="1" applyFont="1" applyFill="1" applyBorder="1" applyAlignment="1">
      <alignment horizontal="center" vertical="center"/>
    </xf>
    <xf numFmtId="13" fontId="6" fillId="2" borderId="1" xfId="0" applyNumberFormat="1" applyFont="1" applyFill="1" applyBorder="1" applyAlignment="1">
      <alignment vertical="center"/>
    </xf>
    <xf numFmtId="164" fontId="1" fillId="2" borderId="2" xfId="3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vertical="center"/>
    </xf>
    <xf numFmtId="4" fontId="6" fillId="2" borderId="2" xfId="0" applyNumberFormat="1" applyFont="1" applyFill="1" applyBorder="1" applyAlignment="1">
      <alignment horizontal="center" vertical="center"/>
    </xf>
    <xf numFmtId="166" fontId="6" fillId="2" borderId="2" xfId="3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164" fontId="1" fillId="2" borderId="1" xfId="3" applyFont="1" applyFill="1" applyBorder="1" applyAlignment="1">
      <alignment horizontal="center" vertical="center"/>
    </xf>
    <xf numFmtId="0" fontId="6" fillId="3" borderId="1" xfId="2" applyNumberFormat="1" applyFont="1" applyFill="1" applyBorder="1" applyAlignment="1">
      <alignment horizontal="center" vertical="center"/>
    </xf>
    <xf numFmtId="164" fontId="3" fillId="3" borderId="8" xfId="3" applyFont="1" applyFill="1" applyBorder="1" applyAlignment="1">
      <alignment horizontal="left" vertical="center"/>
    </xf>
    <xf numFmtId="0" fontId="1" fillId="0" borderId="0" xfId="0" applyFont="1"/>
    <xf numFmtId="4" fontId="1" fillId="0" borderId="0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4" fontId="0" fillId="0" borderId="0" xfId="0" applyNumberFormat="1" applyBorder="1" applyAlignment="1">
      <alignment vertical="center"/>
    </xf>
    <xf numFmtId="4" fontId="25" fillId="0" borderId="0" xfId="0" applyNumberFormat="1" applyFont="1" applyBorder="1" applyAlignment="1">
      <alignment vertical="center"/>
    </xf>
    <xf numFmtId="4" fontId="0" fillId="0" borderId="0" xfId="0" applyNumberFormat="1" applyAlignment="1">
      <alignment vertical="center"/>
    </xf>
    <xf numFmtId="164" fontId="6" fillId="3" borderId="8" xfId="3" applyFont="1" applyFill="1" applyBorder="1" applyAlignment="1">
      <alignment vertical="center"/>
    </xf>
    <xf numFmtId="44" fontId="6" fillId="3" borderId="1" xfId="4" applyFont="1" applyFill="1" applyBorder="1" applyAlignment="1">
      <alignment vertical="center"/>
    </xf>
    <xf numFmtId="44" fontId="3" fillId="3" borderId="1" xfId="4" applyFont="1" applyFill="1" applyBorder="1" applyAlignment="1">
      <alignment vertical="center"/>
    </xf>
    <xf numFmtId="44" fontId="0" fillId="3" borderId="1" xfId="4" applyFont="1" applyFill="1" applyBorder="1" applyAlignment="1">
      <alignment vertical="center"/>
    </xf>
    <xf numFmtId="44" fontId="3" fillId="3" borderId="3" xfId="4" applyFon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9" fontId="6" fillId="3" borderId="0" xfId="2" applyFont="1" applyFill="1" applyAlignment="1">
      <alignment vertical="center"/>
    </xf>
    <xf numFmtId="10" fontId="5" fillId="3" borderId="19" xfId="0" applyNumberFormat="1" applyFont="1" applyFill="1" applyBorder="1" applyAlignment="1">
      <alignment horizontal="center" vertical="center"/>
    </xf>
    <xf numFmtId="164" fontId="1" fillId="3" borderId="8" xfId="3" applyFont="1" applyFill="1" applyBorder="1" applyAlignment="1">
      <alignment vertical="center"/>
    </xf>
    <xf numFmtId="164" fontId="1" fillId="3" borderId="9" xfId="3" applyFont="1" applyFill="1" applyBorder="1" applyAlignment="1">
      <alignment vertical="center"/>
    </xf>
    <xf numFmtId="164" fontId="1" fillId="3" borderId="53" xfId="3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0" fillId="3" borderId="53" xfId="0" applyFill="1" applyBorder="1" applyAlignment="1">
      <alignment vertical="center"/>
    </xf>
    <xf numFmtId="164" fontId="3" fillId="3" borderId="8" xfId="3" applyFont="1" applyFill="1" applyBorder="1" applyAlignment="1">
      <alignment vertical="center"/>
    </xf>
    <xf numFmtId="164" fontId="3" fillId="3" borderId="9" xfId="3" applyFont="1" applyFill="1" applyBorder="1" applyAlignment="1">
      <alignment vertical="center"/>
    </xf>
    <xf numFmtId="164" fontId="3" fillId="3" borderId="53" xfId="3" applyFont="1" applyFill="1" applyBorder="1" applyAlignment="1">
      <alignment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164" fontId="3" fillId="3" borderId="13" xfId="3" applyFont="1" applyFill="1" applyBorder="1" applyAlignment="1">
      <alignment horizontal="left" vertical="center"/>
    </xf>
    <xf numFmtId="164" fontId="3" fillId="3" borderId="9" xfId="3" applyFont="1" applyFill="1" applyBorder="1" applyAlignment="1">
      <alignment horizontal="left" vertical="center"/>
    </xf>
    <xf numFmtId="0" fontId="14" fillId="3" borderId="24" xfId="0" applyFont="1" applyFill="1" applyBorder="1" applyAlignment="1">
      <alignment horizontal="center" vertical="center"/>
    </xf>
    <xf numFmtId="0" fontId="14" fillId="3" borderId="25" xfId="0" applyFont="1" applyFill="1" applyBorder="1" applyAlignment="1">
      <alignment horizontal="center" vertical="center"/>
    </xf>
    <xf numFmtId="0" fontId="14" fillId="3" borderId="26" xfId="0" applyFont="1" applyFill="1" applyBorder="1" applyAlignment="1">
      <alignment horizontal="center" vertical="center"/>
    </xf>
    <xf numFmtId="0" fontId="7" fillId="3" borderId="40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/>
    </xf>
    <xf numFmtId="164" fontId="3" fillId="3" borderId="5" xfId="3" applyFont="1" applyFill="1" applyBorder="1" applyAlignment="1">
      <alignment horizontal="center" vertical="center"/>
    </xf>
    <xf numFmtId="164" fontId="3" fillId="3" borderId="6" xfId="3" applyFont="1" applyFill="1" applyBorder="1" applyAlignment="1">
      <alignment horizontal="center" vertical="center"/>
    </xf>
    <xf numFmtId="164" fontId="3" fillId="3" borderId="39" xfId="3" applyFont="1" applyFill="1" applyBorder="1" applyAlignment="1">
      <alignment horizontal="center" vertical="center"/>
    </xf>
    <xf numFmtId="164" fontId="4" fillId="3" borderId="5" xfId="3" applyFont="1" applyFill="1" applyBorder="1" applyAlignment="1">
      <alignment horizontal="center" vertical="center"/>
    </xf>
    <xf numFmtId="164" fontId="4" fillId="3" borderId="6" xfId="3" applyFont="1" applyFill="1" applyBorder="1" applyAlignment="1">
      <alignment horizontal="center" vertical="center"/>
    </xf>
    <xf numFmtId="164" fontId="4" fillId="3" borderId="7" xfId="3" applyFont="1" applyFill="1" applyBorder="1" applyAlignment="1">
      <alignment horizontal="center" vertical="center"/>
    </xf>
    <xf numFmtId="0" fontId="14" fillId="6" borderId="20" xfId="0" applyFont="1" applyFill="1" applyBorder="1" applyAlignment="1">
      <alignment horizontal="center" vertical="center"/>
    </xf>
    <xf numFmtId="0" fontId="14" fillId="6" borderId="21" xfId="0" applyFont="1" applyFill="1" applyBorder="1" applyAlignment="1">
      <alignment horizontal="center" vertical="center"/>
    </xf>
    <xf numFmtId="0" fontId="14" fillId="6" borderId="11" xfId="0" applyFont="1" applyFill="1" applyBorder="1" applyAlignment="1">
      <alignment horizontal="center" vertical="center"/>
    </xf>
    <xf numFmtId="0" fontId="14" fillId="8" borderId="18" xfId="0" applyFont="1" applyFill="1" applyBorder="1" applyAlignment="1">
      <alignment horizontal="center"/>
    </xf>
    <xf numFmtId="0" fontId="14" fillId="8" borderId="42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9" fontId="7" fillId="0" borderId="20" xfId="2" applyFont="1" applyBorder="1" applyAlignment="1">
      <alignment horizontal="center"/>
    </xf>
    <xf numFmtId="9" fontId="7" fillId="0" borderId="21" xfId="2" applyFont="1" applyBorder="1" applyAlignment="1">
      <alignment horizontal="center"/>
    </xf>
    <xf numFmtId="9" fontId="7" fillId="0" borderId="11" xfId="2" applyFont="1" applyBorder="1" applyAlignment="1">
      <alignment horizontal="center"/>
    </xf>
    <xf numFmtId="0" fontId="4" fillId="8" borderId="24" xfId="0" applyFont="1" applyFill="1" applyBorder="1" applyAlignment="1">
      <alignment horizontal="center" vertical="center"/>
    </xf>
    <xf numFmtId="0" fontId="4" fillId="8" borderId="25" xfId="0" applyFont="1" applyFill="1" applyBorder="1" applyAlignment="1">
      <alignment horizontal="center" vertical="center"/>
    </xf>
    <xf numFmtId="0" fontId="4" fillId="8" borderId="26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/>
    </xf>
  </cellXfs>
  <cellStyles count="5">
    <cellStyle name="Hiperlink" xfId="1" builtinId="8"/>
    <cellStyle name="Moeda" xfId="4" builtinId="4"/>
    <cellStyle name="Normal" xfId="0" builtinId="0"/>
    <cellStyle name="Porcentagem" xfId="2" builtinId="5"/>
    <cellStyle name="Vírgula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4</xdr:row>
      <xdr:rowOff>28575</xdr:rowOff>
    </xdr:from>
    <xdr:to>
      <xdr:col>0</xdr:col>
      <xdr:colOff>1419225</xdr:colOff>
      <xdr:row>6</xdr:row>
      <xdr:rowOff>66675</xdr:rowOff>
    </xdr:to>
    <xdr:pic>
      <xdr:nvPicPr>
        <xdr:cNvPr id="650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19100"/>
          <a:ext cx="1285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7</xdr:row>
      <xdr:rowOff>9525</xdr:rowOff>
    </xdr:from>
    <xdr:to>
      <xdr:col>0</xdr:col>
      <xdr:colOff>2124075</xdr:colOff>
      <xdr:row>9</xdr:row>
      <xdr:rowOff>57150</xdr:rowOff>
    </xdr:to>
    <xdr:pic>
      <xdr:nvPicPr>
        <xdr:cNvPr id="650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885825"/>
          <a:ext cx="20383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msap/Downloads/Planilha%20modelo%20TCE%20Coleta%20v.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Coleta Domiciliar"/>
      <sheetName val="2.Encargos Sociais"/>
      <sheetName val="3.CAGED"/>
      <sheetName val="4.BDI"/>
      <sheetName val="5. Depreciação"/>
      <sheetName val="6.Remuneração de capital"/>
      <sheetName val="7. Dimensionamento"/>
    </sheetNames>
    <sheetDataSet>
      <sheetData sheetId="0"/>
      <sheetData sheetId="1"/>
      <sheetData sheetId="2">
        <row r="30">
          <cell r="C30">
            <v>0.28967428967428965</v>
          </cell>
        </row>
        <row r="31">
          <cell r="C31">
            <v>0.40877140877140877</v>
          </cell>
        </row>
        <row r="32">
          <cell r="C32">
            <v>29.356260595785905</v>
          </cell>
        </row>
        <row r="33">
          <cell r="C33">
            <v>360</v>
          </cell>
        </row>
        <row r="34">
          <cell r="C34">
            <v>10</v>
          </cell>
        </row>
        <row r="35">
          <cell r="C35">
            <v>30</v>
          </cell>
        </row>
        <row r="36">
          <cell r="C36">
            <v>30</v>
          </cell>
        </row>
        <row r="37">
          <cell r="C37">
            <v>36</v>
          </cell>
        </row>
        <row r="38">
          <cell r="C38">
            <v>0.08</v>
          </cell>
        </row>
        <row r="39">
          <cell r="C39">
            <v>0.5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51"/>
  <sheetViews>
    <sheetView view="pageBreakPreview" zoomScaleNormal="100" zoomScaleSheetLayoutView="100" workbookViewId="0">
      <selection activeCell="D234" sqref="D234:D237"/>
    </sheetView>
  </sheetViews>
  <sheetFormatPr defaultRowHeight="12.75" x14ac:dyDescent="0.2"/>
  <cols>
    <col min="1" max="1" width="44.5703125" style="153" customWidth="1"/>
    <col min="2" max="2" width="16" style="153" bestFit="1" customWidth="1"/>
    <col min="3" max="3" width="11.85546875" style="153" customWidth="1"/>
    <col min="4" max="4" width="14.7109375" style="154" customWidth="1"/>
    <col min="5" max="5" width="15.42578125" style="154" customWidth="1"/>
    <col min="6" max="6" width="13.28515625" style="154" customWidth="1"/>
    <col min="7" max="7" width="28.140625" style="154" customWidth="1"/>
    <col min="8" max="8" width="9.140625" style="153"/>
    <col min="9" max="9" width="14.5703125" style="153" customWidth="1"/>
    <col min="10" max="10" width="13.42578125" style="153" customWidth="1"/>
    <col min="11" max="16384" width="9.140625" style="153"/>
  </cols>
  <sheetData>
    <row r="1" spans="1:7" s="124" customFormat="1" ht="16.5" customHeight="1" thickBot="1" x14ac:dyDescent="0.25">
      <c r="A1" s="121"/>
      <c r="B1" s="122"/>
      <c r="C1" s="122"/>
      <c r="D1" s="123"/>
      <c r="E1" s="123"/>
      <c r="F1" s="123"/>
      <c r="G1" s="123"/>
    </row>
    <row r="2" spans="1:7" s="126" customFormat="1" ht="18" x14ac:dyDescent="0.2">
      <c r="A2" s="295" t="s">
        <v>226</v>
      </c>
      <c r="B2" s="296"/>
      <c r="C2" s="296"/>
      <c r="D2" s="296"/>
      <c r="E2" s="296"/>
      <c r="F2" s="297"/>
      <c r="G2" s="125"/>
    </row>
    <row r="3" spans="1:7" s="126" customFormat="1" ht="21.75" customHeight="1" x14ac:dyDescent="0.2">
      <c r="A3" s="298" t="s">
        <v>28</v>
      </c>
      <c r="B3" s="299"/>
      <c r="C3" s="299"/>
      <c r="D3" s="299"/>
      <c r="E3" s="299"/>
      <c r="F3" s="300"/>
      <c r="G3" s="125"/>
    </row>
    <row r="4" spans="1:7" s="124" customFormat="1" ht="10.9" customHeight="1" thickBot="1" x14ac:dyDescent="0.25">
      <c r="A4" s="127"/>
      <c r="B4" s="128"/>
      <c r="C4" s="128"/>
      <c r="D4" s="129"/>
      <c r="E4" s="129"/>
      <c r="F4" s="130"/>
      <c r="G4" s="123"/>
    </row>
    <row r="5" spans="1:7" s="124" customFormat="1" ht="15.75" customHeight="1" thickBot="1" x14ac:dyDescent="0.25">
      <c r="A5" s="304" t="s">
        <v>157</v>
      </c>
      <c r="B5" s="305"/>
      <c r="C5" s="305"/>
      <c r="D5" s="305"/>
      <c r="E5" s="305"/>
      <c r="F5" s="306"/>
      <c r="G5" s="123"/>
    </row>
    <row r="6" spans="1:7" s="124" customFormat="1" ht="15.75" customHeight="1" x14ac:dyDescent="0.2">
      <c r="A6" s="131" t="s">
        <v>156</v>
      </c>
      <c r="B6" s="132"/>
      <c r="C6" s="132"/>
      <c r="D6" s="133"/>
      <c r="E6" s="134" t="s">
        <v>23</v>
      </c>
      <c r="F6" s="135" t="s">
        <v>1</v>
      </c>
      <c r="G6" s="123"/>
    </row>
    <row r="7" spans="1:7" s="141" customFormat="1" ht="15.75" customHeight="1" x14ac:dyDescent="0.2">
      <c r="A7" s="136" t="str">
        <f>A43</f>
        <v>1. Mão-de-obra</v>
      </c>
      <c r="B7" s="137"/>
      <c r="C7" s="138"/>
      <c r="D7" s="138"/>
      <c r="E7" s="276">
        <f>F106</f>
        <v>0</v>
      </c>
      <c r="F7" s="139">
        <f t="shared" ref="F7:F25" si="0">IFERROR(E7/$E$26,0)</f>
        <v>0</v>
      </c>
      <c r="G7" s="140"/>
    </row>
    <row r="8" spans="1:7" s="124" customFormat="1" ht="15.75" customHeight="1" x14ac:dyDescent="0.2">
      <c r="A8" s="142" t="str">
        <f>A45</f>
        <v>1.1. Catador de material reciclável (CBO 5192)</v>
      </c>
      <c r="B8" s="143"/>
      <c r="C8" s="144"/>
      <c r="D8" s="144"/>
      <c r="E8" s="277">
        <f>F53</f>
        <v>0</v>
      </c>
      <c r="F8" s="139">
        <f t="shared" si="0"/>
        <v>0</v>
      </c>
      <c r="G8" s="123"/>
    </row>
    <row r="9" spans="1:7" s="124" customFormat="1" ht="15.75" customHeight="1" x14ac:dyDescent="0.2">
      <c r="A9" s="142" t="str">
        <f>A55</f>
        <v>1.2. Operador Turno Dia</v>
      </c>
      <c r="B9" s="143"/>
      <c r="C9" s="144"/>
      <c r="D9" s="144"/>
      <c r="E9" s="277">
        <f>F65</f>
        <v>0</v>
      </c>
      <c r="F9" s="139">
        <f t="shared" si="0"/>
        <v>0</v>
      </c>
      <c r="G9" s="123"/>
    </row>
    <row r="10" spans="1:7" s="124" customFormat="1" ht="15.75" customHeight="1" x14ac:dyDescent="0.2">
      <c r="A10" s="142" t="str">
        <f>A67</f>
        <v>1.3. Gerente</v>
      </c>
      <c r="B10" s="143"/>
      <c r="C10" s="144"/>
      <c r="D10" s="144"/>
      <c r="E10" s="277">
        <f>F77</f>
        <v>0</v>
      </c>
      <c r="F10" s="139">
        <f t="shared" si="0"/>
        <v>0</v>
      </c>
      <c r="G10" s="123"/>
    </row>
    <row r="11" spans="1:7" s="124" customFormat="1" ht="15.75" customHeight="1" x14ac:dyDescent="0.2">
      <c r="A11" s="142" t="str">
        <f>A79</f>
        <v>1.4. Vale Transporte</v>
      </c>
      <c r="B11" s="143"/>
      <c r="C11" s="144"/>
      <c r="D11" s="144"/>
      <c r="E11" s="277">
        <f>F86</f>
        <v>0</v>
      </c>
      <c r="F11" s="139">
        <f t="shared" si="0"/>
        <v>0</v>
      </c>
      <c r="G11" s="123"/>
    </row>
    <row r="12" spans="1:7" s="124" customFormat="1" ht="15.75" customHeight="1" x14ac:dyDescent="0.2">
      <c r="A12" s="142" t="str">
        <f>A88</f>
        <v>1.5. Vale-refeição (diário)</v>
      </c>
      <c r="B12" s="143"/>
      <c r="C12" s="144"/>
      <c r="D12" s="144"/>
      <c r="E12" s="277">
        <f>F92</f>
        <v>0</v>
      </c>
      <c r="F12" s="139">
        <f t="shared" si="0"/>
        <v>0</v>
      </c>
      <c r="G12" s="123"/>
    </row>
    <row r="13" spans="1:7" s="124" customFormat="1" ht="15.75" customHeight="1" x14ac:dyDescent="0.2">
      <c r="A13" s="142" t="str">
        <f>A94</f>
        <v>1.6. Auxílio Alimentação (mensal)</v>
      </c>
      <c r="B13" s="143"/>
      <c r="C13" s="144"/>
      <c r="D13" s="144"/>
      <c r="E13" s="277">
        <f>F98</f>
        <v>0</v>
      </c>
      <c r="F13" s="139">
        <f t="shared" si="0"/>
        <v>0</v>
      </c>
      <c r="G13" s="123"/>
    </row>
    <row r="14" spans="1:7" s="141" customFormat="1" ht="15.75" customHeight="1" x14ac:dyDescent="0.2">
      <c r="A14" s="293" t="str">
        <f>A108</f>
        <v>2. Uniformes e Equipamentos de Proteção Individual</v>
      </c>
      <c r="B14" s="294"/>
      <c r="C14" s="294"/>
      <c r="D14" s="138"/>
      <c r="E14" s="276">
        <f>+F144</f>
        <v>0</v>
      </c>
      <c r="F14" s="139">
        <f t="shared" si="0"/>
        <v>0</v>
      </c>
      <c r="G14" s="140"/>
    </row>
    <row r="15" spans="1:7" s="141" customFormat="1" ht="15.75" customHeight="1" x14ac:dyDescent="0.2">
      <c r="A15" s="145" t="str">
        <f>A146</f>
        <v>3. Veículos e Equipamentos</v>
      </c>
      <c r="B15" s="146"/>
      <c r="C15" s="138"/>
      <c r="D15" s="138"/>
      <c r="E15" s="276">
        <f>+F229</f>
        <v>0</v>
      </c>
      <c r="F15" s="139">
        <f t="shared" si="0"/>
        <v>0</v>
      </c>
      <c r="G15" s="140"/>
    </row>
    <row r="16" spans="1:7" s="124" customFormat="1" ht="15.75" customHeight="1" x14ac:dyDescent="0.2">
      <c r="A16" s="147" t="str">
        <f>A148</f>
        <v>3.1. Retroescavadeira</v>
      </c>
      <c r="B16" s="148"/>
      <c r="C16" s="144"/>
      <c r="D16" s="144"/>
      <c r="E16" s="277">
        <f>SUM(E17:E20)</f>
        <v>0</v>
      </c>
      <c r="F16" s="139">
        <f t="shared" si="0"/>
        <v>0</v>
      </c>
      <c r="G16" s="123"/>
    </row>
    <row r="17" spans="1:7" s="124" customFormat="1" ht="15.75" customHeight="1" x14ac:dyDescent="0.2">
      <c r="A17" s="147" t="str">
        <f>A150</f>
        <v>3.1.1. Depreciação</v>
      </c>
      <c r="B17" s="148"/>
      <c r="C17" s="144"/>
      <c r="D17" s="144"/>
      <c r="E17" s="277">
        <f>F158</f>
        <v>0</v>
      </c>
      <c r="F17" s="139">
        <f t="shared" si="0"/>
        <v>0</v>
      </c>
      <c r="G17" s="123"/>
    </row>
    <row r="18" spans="1:7" s="124" customFormat="1" ht="15.75" customHeight="1" x14ac:dyDescent="0.2">
      <c r="A18" s="147" t="str">
        <f>A160</f>
        <v>3.1.2. Remuneração do Capital</v>
      </c>
      <c r="B18" s="148"/>
      <c r="C18" s="144"/>
      <c r="D18" s="144"/>
      <c r="E18" s="277">
        <f>F168</f>
        <v>0</v>
      </c>
      <c r="F18" s="139">
        <f t="shared" si="0"/>
        <v>0</v>
      </c>
      <c r="G18" s="123"/>
    </row>
    <row r="19" spans="1:7" s="124" customFormat="1" ht="15.75" customHeight="1" x14ac:dyDescent="0.2">
      <c r="A19" s="147" t="str">
        <f>A195</f>
        <v>3.1.5. Manutenção</v>
      </c>
      <c r="B19" s="148"/>
      <c r="C19" s="144"/>
      <c r="D19" s="144"/>
      <c r="E19" s="277">
        <f>F198</f>
        <v>0</v>
      </c>
      <c r="F19" s="139">
        <f t="shared" si="0"/>
        <v>0</v>
      </c>
      <c r="G19" s="123"/>
    </row>
    <row r="20" spans="1:7" s="124" customFormat="1" ht="15.75" customHeight="1" x14ac:dyDescent="0.2">
      <c r="A20" s="147" t="str">
        <f>A200</f>
        <v>3.1.6. Pneus</v>
      </c>
      <c r="B20" s="148"/>
      <c r="C20" s="144"/>
      <c r="D20" s="144"/>
      <c r="E20" s="277">
        <f>F206</f>
        <v>0</v>
      </c>
      <c r="F20" s="139">
        <f t="shared" si="0"/>
        <v>0</v>
      </c>
      <c r="G20" s="123"/>
    </row>
    <row r="21" spans="1:7" s="124" customFormat="1" ht="15.75" customHeight="1" x14ac:dyDescent="0.2">
      <c r="A21" s="147" t="str">
        <f>A207</f>
        <v>3.2. Prensa</v>
      </c>
      <c r="B21" s="148"/>
      <c r="C21" s="144"/>
      <c r="D21" s="144"/>
      <c r="E21" s="277">
        <f>E22+E23</f>
        <v>0</v>
      </c>
      <c r="F21" s="139">
        <f t="shared" si="0"/>
        <v>0</v>
      </c>
      <c r="G21" s="123"/>
    </row>
    <row r="22" spans="1:7" s="124" customFormat="1" ht="15.75" customHeight="1" x14ac:dyDescent="0.2">
      <c r="A22" s="147" t="str">
        <f>A209</f>
        <v>3.2.1. Depreciação</v>
      </c>
      <c r="B22" s="148"/>
      <c r="C22" s="144"/>
      <c r="D22" s="144"/>
      <c r="E22" s="275">
        <f>F217</f>
        <v>0</v>
      </c>
      <c r="F22" s="139">
        <f t="shared" si="0"/>
        <v>0</v>
      </c>
      <c r="G22" s="123"/>
    </row>
    <row r="23" spans="1:7" s="124" customFormat="1" ht="15.75" customHeight="1" x14ac:dyDescent="0.2">
      <c r="A23" s="147" t="str">
        <f>A219</f>
        <v>3.2.2. Remuneração do Capital</v>
      </c>
      <c r="B23" s="148"/>
      <c r="C23" s="144"/>
      <c r="D23" s="144"/>
      <c r="E23" s="275">
        <f>F227</f>
        <v>0</v>
      </c>
      <c r="F23" s="139">
        <f t="shared" si="0"/>
        <v>0</v>
      </c>
      <c r="G23" s="123"/>
    </row>
    <row r="24" spans="1:7" s="141" customFormat="1" ht="15.75" customHeight="1" x14ac:dyDescent="0.2">
      <c r="A24" s="145" t="str">
        <f>A231</f>
        <v>4. Ferramentas e Materiais de Consumo</v>
      </c>
      <c r="B24" s="146"/>
      <c r="C24" s="138"/>
      <c r="D24" s="138"/>
      <c r="E24" s="276">
        <f>+F240</f>
        <v>0</v>
      </c>
      <c r="F24" s="139">
        <f t="shared" si="0"/>
        <v>0</v>
      </c>
      <c r="G24" s="140"/>
    </row>
    <row r="25" spans="1:7" s="141" customFormat="1" ht="15.75" customHeight="1" x14ac:dyDescent="0.2">
      <c r="A25" s="149" t="str">
        <f>A244</f>
        <v>5. Benefícios e Despesas Indiretas - BDI</v>
      </c>
      <c r="B25" s="146"/>
      <c r="C25" s="138"/>
      <c r="D25" s="138"/>
      <c r="E25" s="278">
        <f>F248</f>
        <v>0</v>
      </c>
      <c r="F25" s="139">
        <f t="shared" si="0"/>
        <v>0</v>
      </c>
      <c r="G25" s="140"/>
    </row>
    <row r="26" spans="1:7" s="124" customFormat="1" ht="15.75" customHeight="1" thickBot="1" x14ac:dyDescent="0.25">
      <c r="A26" s="267" t="s">
        <v>230</v>
      </c>
      <c r="B26" s="150"/>
      <c r="C26" s="151"/>
      <c r="D26" s="151"/>
      <c r="E26" s="276">
        <f>E7+E14+E15+E24+E25</f>
        <v>0</v>
      </c>
      <c r="F26" s="152">
        <f>F7+F14+F15+F24+F25</f>
        <v>0</v>
      </c>
      <c r="G26" s="123"/>
    </row>
    <row r="28" spans="1:7" ht="13.5" thickBot="1" x14ac:dyDescent="0.25"/>
    <row r="29" spans="1:7" s="124" customFormat="1" ht="15" customHeight="1" thickBot="1" x14ac:dyDescent="0.25">
      <c r="A29" s="304" t="s">
        <v>65</v>
      </c>
      <c r="B29" s="305"/>
      <c r="C29" s="305"/>
      <c r="D29" s="305"/>
      <c r="E29" s="306"/>
      <c r="F29" s="154"/>
      <c r="G29" s="123"/>
    </row>
    <row r="30" spans="1:7" s="124" customFormat="1" ht="15" customHeight="1" thickBot="1" x14ac:dyDescent="0.25">
      <c r="A30" s="301" t="s">
        <v>24</v>
      </c>
      <c r="B30" s="302"/>
      <c r="C30" s="302"/>
      <c r="D30" s="303"/>
      <c r="E30" s="155" t="s">
        <v>25</v>
      </c>
      <c r="F30" s="154"/>
      <c r="G30" s="123"/>
    </row>
    <row r="31" spans="1:7" s="124" customFormat="1" ht="15" customHeight="1" x14ac:dyDescent="0.2">
      <c r="A31" s="156" t="str">
        <f>+A45</f>
        <v>1.1. Catador de material reciclável (CBO 5192)</v>
      </c>
      <c r="B31" s="157"/>
      <c r="C31" s="157"/>
      <c r="D31" s="158"/>
      <c r="E31" s="159">
        <v>15</v>
      </c>
      <c r="F31" s="154"/>
      <c r="G31" s="123"/>
    </row>
    <row r="32" spans="1:7" s="124" customFormat="1" ht="15" customHeight="1" x14ac:dyDescent="0.2">
      <c r="A32" s="160" t="str">
        <f>+A55</f>
        <v>1.2. Operador Turno Dia</v>
      </c>
      <c r="B32" s="161"/>
      <c r="C32" s="161"/>
      <c r="D32" s="162"/>
      <c r="E32" s="163">
        <f>C64</f>
        <v>0</v>
      </c>
      <c r="F32" s="154"/>
      <c r="G32" s="123"/>
    </row>
    <row r="33" spans="1:7" s="124" customFormat="1" ht="15" customHeight="1" x14ac:dyDescent="0.2">
      <c r="A33" s="274" t="str">
        <f>A67</f>
        <v>1.3. Gerente</v>
      </c>
      <c r="B33" s="161"/>
      <c r="C33" s="161"/>
      <c r="D33" s="162"/>
      <c r="E33" s="173">
        <v>1</v>
      </c>
      <c r="F33" s="154"/>
      <c r="G33" s="123"/>
    </row>
    <row r="34" spans="1:7" s="124" customFormat="1" ht="15" customHeight="1" thickBot="1" x14ac:dyDescent="0.25">
      <c r="A34" s="164" t="s">
        <v>40</v>
      </c>
      <c r="B34" s="165"/>
      <c r="C34" s="165"/>
      <c r="D34" s="166"/>
      <c r="E34" s="167">
        <f>SUM(E31:E33)</f>
        <v>16</v>
      </c>
      <c r="F34" s="154"/>
      <c r="G34" s="123"/>
    </row>
    <row r="35" spans="1:7" s="124" customFormat="1" ht="15" customHeight="1" thickBot="1" x14ac:dyDescent="0.25">
      <c r="A35" s="168"/>
      <c r="B35" s="169"/>
      <c r="C35" s="119"/>
      <c r="D35" s="119"/>
      <c r="E35" s="170"/>
      <c r="F35" s="154"/>
      <c r="G35" s="123"/>
    </row>
    <row r="36" spans="1:7" s="124" customFormat="1" ht="15" customHeight="1" x14ac:dyDescent="0.2">
      <c r="A36" s="291" t="s">
        <v>39</v>
      </c>
      <c r="B36" s="292"/>
      <c r="C36" s="292"/>
      <c r="D36" s="292"/>
      <c r="E36" s="155" t="s">
        <v>25</v>
      </c>
      <c r="F36" s="153"/>
      <c r="G36" s="123"/>
    </row>
    <row r="37" spans="1:7" s="124" customFormat="1" ht="15" customHeight="1" x14ac:dyDescent="0.2">
      <c r="A37" s="282" t="str">
        <f>A148</f>
        <v>3.1. Retroescavadeira</v>
      </c>
      <c r="B37" s="283"/>
      <c r="C37" s="283"/>
      <c r="D37" s="284"/>
      <c r="E37" s="173">
        <v>1</v>
      </c>
      <c r="F37" s="153"/>
      <c r="G37" s="123"/>
    </row>
    <row r="38" spans="1:7" s="124" customFormat="1" ht="15" customHeight="1" x14ac:dyDescent="0.2">
      <c r="A38" s="285" t="str">
        <f>A207</f>
        <v>3.2. Prensa</v>
      </c>
      <c r="B38" s="286"/>
      <c r="C38" s="286"/>
      <c r="D38" s="287"/>
      <c r="E38" s="279">
        <v>2</v>
      </c>
      <c r="F38" s="153"/>
      <c r="G38" s="123"/>
    </row>
    <row r="39" spans="1:7" s="124" customFormat="1" ht="15" customHeight="1" x14ac:dyDescent="0.2">
      <c r="A39" s="288" t="s">
        <v>227</v>
      </c>
      <c r="B39" s="289"/>
      <c r="C39" s="289"/>
      <c r="D39" s="290"/>
      <c r="E39" s="176">
        <f>SUM(E37,E38)</f>
        <v>3</v>
      </c>
      <c r="F39" s="153"/>
      <c r="G39" s="123"/>
    </row>
    <row r="40" spans="1:7" s="124" customFormat="1" ht="13.5" thickBot="1" x14ac:dyDescent="0.25">
      <c r="A40" s="119"/>
      <c r="B40" s="119"/>
      <c r="C40" s="119"/>
      <c r="D40" s="177"/>
      <c r="E40" s="178"/>
      <c r="F40" s="153"/>
      <c r="G40" s="123"/>
    </row>
    <row r="41" spans="1:7" s="141" customFormat="1" ht="15.75" customHeight="1" thickBot="1" x14ac:dyDescent="0.25">
      <c r="A41" s="179" t="s">
        <v>152</v>
      </c>
      <c r="B41" s="248"/>
      <c r="C41" s="118"/>
      <c r="D41" s="180"/>
      <c r="E41" s="181"/>
      <c r="G41" s="140"/>
    </row>
    <row r="42" spans="1:7" s="124" customFormat="1" ht="15.75" customHeight="1" x14ac:dyDescent="0.2">
      <c r="A42" s="119"/>
      <c r="B42" s="119"/>
      <c r="C42" s="119"/>
      <c r="D42" s="177"/>
      <c r="E42" s="178"/>
      <c r="F42" s="153"/>
      <c r="G42" s="123"/>
    </row>
    <row r="43" spans="1:7" ht="13.15" customHeight="1" x14ac:dyDescent="0.2">
      <c r="A43" s="141" t="s">
        <v>31</v>
      </c>
    </row>
    <row r="44" spans="1:7" ht="11.25" customHeight="1" x14ac:dyDescent="0.2"/>
    <row r="45" spans="1:7" ht="13.9" customHeight="1" thickBot="1" x14ac:dyDescent="0.25">
      <c r="A45" s="121" t="s">
        <v>252</v>
      </c>
    </row>
    <row r="46" spans="1:7" ht="13.9" customHeight="1" thickBot="1" x14ac:dyDescent="0.25">
      <c r="A46" s="182" t="s">
        <v>43</v>
      </c>
      <c r="B46" s="183" t="s">
        <v>44</v>
      </c>
      <c r="C46" s="183" t="s">
        <v>25</v>
      </c>
      <c r="D46" s="184" t="s">
        <v>181</v>
      </c>
      <c r="E46" s="184" t="s">
        <v>45</v>
      </c>
      <c r="F46" s="185" t="s">
        <v>46</v>
      </c>
    </row>
    <row r="47" spans="1:7" ht="13.15" customHeight="1" x14ac:dyDescent="0.2">
      <c r="A47" s="186" t="s">
        <v>163</v>
      </c>
      <c r="B47" s="187" t="s">
        <v>6</v>
      </c>
      <c r="C47" s="187">
        <v>1</v>
      </c>
      <c r="D47" s="249"/>
      <c r="E47" s="188">
        <f>C47*D47</f>
        <v>0</v>
      </c>
    </row>
    <row r="48" spans="1:7" x14ac:dyDescent="0.2">
      <c r="A48" s="172" t="s">
        <v>0</v>
      </c>
      <c r="B48" s="189" t="s">
        <v>1</v>
      </c>
      <c r="C48" s="250"/>
      <c r="D48" s="190">
        <f>SUM(E47:E47)</f>
        <v>0</v>
      </c>
      <c r="E48" s="190">
        <f>C48*D48/100</f>
        <v>0</v>
      </c>
    </row>
    <row r="49" spans="1:7" x14ac:dyDescent="0.2">
      <c r="A49" s="191" t="s">
        <v>2</v>
      </c>
      <c r="B49" s="192"/>
      <c r="C49" s="192"/>
      <c r="D49" s="193"/>
      <c r="E49" s="194">
        <f>SUM(E47:E48)</f>
        <v>0</v>
      </c>
    </row>
    <row r="50" spans="1:7" x14ac:dyDescent="0.2">
      <c r="A50" s="172" t="s">
        <v>3</v>
      </c>
      <c r="B50" s="189" t="s">
        <v>1</v>
      </c>
      <c r="C50" s="190">
        <f>'2.Encargos Sociais'!$C$37*100</f>
        <v>72.231660000000005</v>
      </c>
      <c r="D50" s="190">
        <f>E49</f>
        <v>0</v>
      </c>
      <c r="E50" s="190">
        <f>D50*C50/100</f>
        <v>0</v>
      </c>
    </row>
    <row r="51" spans="1:7" x14ac:dyDescent="0.2">
      <c r="A51" s="191" t="s">
        <v>48</v>
      </c>
      <c r="B51" s="192"/>
      <c r="C51" s="192"/>
      <c r="D51" s="193"/>
      <c r="E51" s="194">
        <f>E49+E50</f>
        <v>0</v>
      </c>
    </row>
    <row r="52" spans="1:7" ht="13.5" thickBot="1" x14ac:dyDescent="0.25">
      <c r="A52" s="172" t="s">
        <v>4</v>
      </c>
      <c r="B52" s="189" t="s">
        <v>5</v>
      </c>
      <c r="C52" s="250"/>
      <c r="D52" s="190">
        <f>E51</f>
        <v>0</v>
      </c>
      <c r="E52" s="190">
        <f>C52*D52</f>
        <v>0</v>
      </c>
      <c r="G52" s="123"/>
    </row>
    <row r="53" spans="1:7" ht="13.9" customHeight="1" thickBot="1" x14ac:dyDescent="0.25">
      <c r="D53" s="195" t="s">
        <v>151</v>
      </c>
      <c r="E53" s="171">
        <f>$B$41</f>
        <v>0</v>
      </c>
      <c r="F53" s="196">
        <f>E52*E53</f>
        <v>0</v>
      </c>
      <c r="G53" s="123"/>
    </row>
    <row r="54" spans="1:7" ht="11.25" customHeight="1" x14ac:dyDescent="0.2"/>
    <row r="55" spans="1:7" ht="13.5" thickBot="1" x14ac:dyDescent="0.25">
      <c r="A55" s="121" t="s">
        <v>197</v>
      </c>
    </row>
    <row r="56" spans="1:7" ht="13.5" thickBot="1" x14ac:dyDescent="0.25">
      <c r="A56" s="182" t="s">
        <v>43</v>
      </c>
      <c r="B56" s="183" t="s">
        <v>44</v>
      </c>
      <c r="C56" s="183" t="s">
        <v>25</v>
      </c>
      <c r="D56" s="184" t="s">
        <v>181</v>
      </c>
      <c r="E56" s="184" t="s">
        <v>45</v>
      </c>
      <c r="F56" s="185" t="s">
        <v>46</v>
      </c>
    </row>
    <row r="57" spans="1:7" x14ac:dyDescent="0.2">
      <c r="A57" s="186" t="s">
        <v>165</v>
      </c>
      <c r="B57" s="187" t="s">
        <v>6</v>
      </c>
      <c r="C57" s="187">
        <v>1</v>
      </c>
      <c r="D57" s="249"/>
      <c r="E57" s="188">
        <f>C57*D57</f>
        <v>0</v>
      </c>
    </row>
    <row r="58" spans="1:7" x14ac:dyDescent="0.2">
      <c r="A58" s="186" t="s">
        <v>166</v>
      </c>
      <c r="B58" s="187" t="s">
        <v>6</v>
      </c>
      <c r="C58" s="187">
        <v>1</v>
      </c>
      <c r="D58" s="249"/>
      <c r="E58" s="188"/>
    </row>
    <row r="59" spans="1:7" ht="13.15" customHeight="1" x14ac:dyDescent="0.2">
      <c r="A59" s="172" t="s">
        <v>164</v>
      </c>
      <c r="B59" s="189"/>
      <c r="C59" s="251"/>
      <c r="D59" s="190"/>
      <c r="E59" s="190"/>
    </row>
    <row r="60" spans="1:7" x14ac:dyDescent="0.2">
      <c r="A60" s="172" t="s">
        <v>0</v>
      </c>
      <c r="B60" s="189" t="s">
        <v>1</v>
      </c>
      <c r="C60" s="250"/>
      <c r="D60" s="190">
        <f>IF(C59=1,SUM(E57:E58),IF(C59=2,(SUM(E57:E58))*D58/D57,0))</f>
        <v>0</v>
      </c>
      <c r="E60" s="190">
        <f>C60*D60/100</f>
        <v>0</v>
      </c>
    </row>
    <row r="61" spans="1:7" x14ac:dyDescent="0.2">
      <c r="A61" s="175" t="s">
        <v>2</v>
      </c>
      <c r="B61" s="192"/>
      <c r="C61" s="192"/>
      <c r="D61" s="193"/>
      <c r="E61" s="198">
        <f>SUM(E57:E60)</f>
        <v>0</v>
      </c>
      <c r="F61" s="140"/>
    </row>
    <row r="62" spans="1:7" x14ac:dyDescent="0.2">
      <c r="A62" s="172" t="s">
        <v>3</v>
      </c>
      <c r="B62" s="189" t="s">
        <v>1</v>
      </c>
      <c r="C62" s="190">
        <f>'2.Encargos Sociais'!$C$37*100</f>
        <v>72.231660000000005</v>
      </c>
      <c r="D62" s="190">
        <f>E61</f>
        <v>0</v>
      </c>
      <c r="E62" s="190">
        <f>D62*C62/100</f>
        <v>0</v>
      </c>
    </row>
    <row r="63" spans="1:7" x14ac:dyDescent="0.2">
      <c r="A63" s="175" t="s">
        <v>198</v>
      </c>
      <c r="B63" s="199"/>
      <c r="C63" s="199"/>
      <c r="D63" s="200"/>
      <c r="E63" s="198">
        <f>E61+E62</f>
        <v>0</v>
      </c>
      <c r="F63" s="140"/>
    </row>
    <row r="64" spans="1:7" ht="13.5" thickBot="1" x14ac:dyDescent="0.25">
      <c r="A64" s="172" t="s">
        <v>4</v>
      </c>
      <c r="B64" s="189" t="s">
        <v>5</v>
      </c>
      <c r="C64" s="250"/>
      <c r="D64" s="190">
        <f>E63</f>
        <v>0</v>
      </c>
      <c r="E64" s="190">
        <f>C64*D64</f>
        <v>0</v>
      </c>
    </row>
    <row r="65" spans="1:6" ht="13.5" thickBot="1" x14ac:dyDescent="0.25">
      <c r="D65" s="195" t="s">
        <v>151</v>
      </c>
      <c r="E65" s="171">
        <f>$B$41</f>
        <v>0</v>
      </c>
      <c r="F65" s="196">
        <f>E64*E65</f>
        <v>0</v>
      </c>
    </row>
    <row r="66" spans="1:6" ht="11.25" customHeight="1" x14ac:dyDescent="0.2"/>
    <row r="67" spans="1:6" ht="11.25" customHeight="1" thickBot="1" x14ac:dyDescent="0.25">
      <c r="A67" s="121" t="s">
        <v>247</v>
      </c>
    </row>
    <row r="68" spans="1:6" ht="11.25" customHeight="1" thickBot="1" x14ac:dyDescent="0.25">
      <c r="A68" s="182" t="s">
        <v>43</v>
      </c>
      <c r="B68" s="183" t="s">
        <v>44</v>
      </c>
      <c r="C68" s="183" t="s">
        <v>25</v>
      </c>
      <c r="D68" s="184" t="s">
        <v>181</v>
      </c>
      <c r="E68" s="184" t="s">
        <v>45</v>
      </c>
      <c r="F68" s="185" t="s">
        <v>46</v>
      </c>
    </row>
    <row r="69" spans="1:6" ht="11.25" customHeight="1" x14ac:dyDescent="0.2">
      <c r="A69" s="186" t="s">
        <v>165</v>
      </c>
      <c r="B69" s="187" t="s">
        <v>6</v>
      </c>
      <c r="C69" s="187">
        <v>1</v>
      </c>
      <c r="D69" s="249"/>
      <c r="E69" s="188">
        <f>C69*D69</f>
        <v>0</v>
      </c>
    </row>
    <row r="70" spans="1:6" ht="11.25" customHeight="1" x14ac:dyDescent="0.2">
      <c r="A70" s="186" t="s">
        <v>166</v>
      </c>
      <c r="B70" s="187" t="s">
        <v>6</v>
      </c>
      <c r="C70" s="187">
        <v>1</v>
      </c>
      <c r="D70" s="249"/>
      <c r="E70" s="188"/>
    </row>
    <row r="71" spans="1:6" ht="11.25" customHeight="1" x14ac:dyDescent="0.2">
      <c r="A71" s="172" t="s">
        <v>164</v>
      </c>
      <c r="B71" s="189"/>
      <c r="C71" s="251"/>
      <c r="D71" s="190"/>
      <c r="E71" s="190"/>
    </row>
    <row r="72" spans="1:6" ht="11.25" customHeight="1" x14ac:dyDescent="0.2">
      <c r="A72" s="172" t="s">
        <v>0</v>
      </c>
      <c r="B72" s="189" t="s">
        <v>1</v>
      </c>
      <c r="C72" s="250"/>
      <c r="D72" s="190">
        <f>IF(C71=1,SUM(E69:E70),IF(C71=2,(SUM(E69:E70))*D70/D69,0))</f>
        <v>0</v>
      </c>
      <c r="E72" s="190">
        <f>C72*D72/100</f>
        <v>0</v>
      </c>
    </row>
    <row r="73" spans="1:6" ht="11.25" customHeight="1" x14ac:dyDescent="0.2">
      <c r="A73" s="175" t="s">
        <v>2</v>
      </c>
      <c r="B73" s="192"/>
      <c r="C73" s="192"/>
      <c r="D73" s="193"/>
      <c r="E73" s="198">
        <f>SUM(E69:E72)</f>
        <v>0</v>
      </c>
      <c r="F73" s="140"/>
    </row>
    <row r="74" spans="1:6" ht="11.25" customHeight="1" x14ac:dyDescent="0.2">
      <c r="A74" s="172" t="s">
        <v>3</v>
      </c>
      <c r="B74" s="189" t="s">
        <v>1</v>
      </c>
      <c r="C74" s="190">
        <f>'2.Encargos Sociais'!$C$37*100</f>
        <v>72.231660000000005</v>
      </c>
      <c r="D74" s="190">
        <f>E73</f>
        <v>0</v>
      </c>
      <c r="E74" s="190">
        <f>D74*C74/100</f>
        <v>0</v>
      </c>
    </row>
    <row r="75" spans="1:6" ht="11.25" customHeight="1" x14ac:dyDescent="0.2">
      <c r="A75" s="175" t="s">
        <v>198</v>
      </c>
      <c r="B75" s="199"/>
      <c r="C75" s="199"/>
      <c r="D75" s="200"/>
      <c r="E75" s="198">
        <f>E73+E74</f>
        <v>0</v>
      </c>
      <c r="F75" s="140"/>
    </row>
    <row r="76" spans="1:6" ht="11.25" customHeight="1" thickBot="1" x14ac:dyDescent="0.25">
      <c r="A76" s="172" t="s">
        <v>4</v>
      </c>
      <c r="B76" s="189" t="s">
        <v>5</v>
      </c>
      <c r="C76" s="250"/>
      <c r="D76" s="190">
        <f>E75</f>
        <v>0</v>
      </c>
      <c r="E76" s="190">
        <f>C76*D76</f>
        <v>0</v>
      </c>
    </row>
    <row r="77" spans="1:6" ht="11.25" customHeight="1" thickBot="1" x14ac:dyDescent="0.25">
      <c r="D77" s="195" t="s">
        <v>151</v>
      </c>
      <c r="E77" s="171">
        <f>$B$41</f>
        <v>0</v>
      </c>
      <c r="F77" s="196">
        <f>E76*E77</f>
        <v>0</v>
      </c>
    </row>
    <row r="78" spans="1:6" ht="11.25" customHeight="1" x14ac:dyDescent="0.2"/>
    <row r="79" spans="1:6" ht="13.5" thickBot="1" x14ac:dyDescent="0.25">
      <c r="A79" s="121" t="s">
        <v>248</v>
      </c>
      <c r="B79" s="202"/>
      <c r="C79" s="121"/>
      <c r="D79" s="121"/>
      <c r="E79" s="121"/>
      <c r="F79" s="203"/>
    </row>
    <row r="80" spans="1:6" ht="13.5" thickBot="1" x14ac:dyDescent="0.25">
      <c r="A80" s="182" t="s">
        <v>43</v>
      </c>
      <c r="B80" s="183" t="s">
        <v>44</v>
      </c>
      <c r="C80" s="183" t="s">
        <v>25</v>
      </c>
      <c r="D80" s="184" t="s">
        <v>181</v>
      </c>
      <c r="E80" s="184" t="s">
        <v>45</v>
      </c>
      <c r="F80" s="185" t="s">
        <v>46</v>
      </c>
    </row>
    <row r="81" spans="1:7" x14ac:dyDescent="0.2">
      <c r="A81" s="204" t="s">
        <v>199</v>
      </c>
      <c r="B81" s="205" t="s">
        <v>21</v>
      </c>
      <c r="C81" s="206">
        <v>1</v>
      </c>
      <c r="D81" s="254"/>
      <c r="E81" s="207"/>
      <c r="F81" s="203"/>
    </row>
    <row r="82" spans="1:7" x14ac:dyDescent="0.2">
      <c r="A82" s="204" t="s">
        <v>200</v>
      </c>
      <c r="B82" s="205" t="s">
        <v>62</v>
      </c>
      <c r="C82" s="253"/>
      <c r="D82" s="207"/>
      <c r="E82" s="207"/>
      <c r="F82" s="203"/>
    </row>
    <row r="83" spans="1:7" x14ac:dyDescent="0.2">
      <c r="A83" s="204" t="str">
        <f>A45</f>
        <v>1.1. Catador de material reciclável (CBO 5192)</v>
      </c>
      <c r="B83" s="205" t="s">
        <v>201</v>
      </c>
      <c r="C83" s="208">
        <f>$C$82*2*(C52)</f>
        <v>0</v>
      </c>
      <c r="D83" s="209" t="e">
        <f>((($C$82*2*$D$81)-(E49*0.06))/($C$82*2))</f>
        <v>#DIV/0!</v>
      </c>
      <c r="E83" s="207" t="str">
        <f>IFERROR(C83*D83,"-")</f>
        <v>-</v>
      </c>
      <c r="F83" s="203"/>
    </row>
    <row r="84" spans="1:7" x14ac:dyDescent="0.2">
      <c r="A84" s="210" t="str">
        <f>A55</f>
        <v>1.2. Operador Turno Dia</v>
      </c>
      <c r="B84" s="205" t="s">
        <v>201</v>
      </c>
      <c r="C84" s="208">
        <f>$C$82*2*(C63)</f>
        <v>0</v>
      </c>
      <c r="D84" s="209" t="e">
        <f>((($C$82*2*$D$81)-(E60*0.06))/($C$82*2))</f>
        <v>#DIV/0!</v>
      </c>
      <c r="E84" s="207" t="str">
        <f t="shared" ref="E84" si="1">IFERROR(C84*D84,"-")</f>
        <v>-</v>
      </c>
      <c r="F84" s="203"/>
    </row>
    <row r="85" spans="1:7" x14ac:dyDescent="0.2">
      <c r="A85" s="210" t="str">
        <f>A67</f>
        <v>1.3. Gerente</v>
      </c>
      <c r="B85" s="205" t="s">
        <v>201</v>
      </c>
      <c r="C85" s="208">
        <f>$C$82*2*(C64)</f>
        <v>0</v>
      </c>
      <c r="D85" s="209" t="e">
        <f>((($C$82*2*$D$81)-(E61*0.06))/($C$82*2))</f>
        <v>#DIV/0!</v>
      </c>
      <c r="E85" s="207" t="str">
        <f t="shared" ref="E85" si="2">IFERROR(C85*D85,"-")</f>
        <v>-</v>
      </c>
      <c r="F85" s="203"/>
    </row>
    <row r="86" spans="1:7" x14ac:dyDescent="0.2">
      <c r="A86" s="121"/>
      <c r="B86" s="121"/>
      <c r="C86" s="121"/>
      <c r="D86" s="203"/>
      <c r="E86" s="203"/>
      <c r="F86" s="174">
        <f>SUM(E83:E85)</f>
        <v>0</v>
      </c>
      <c r="G86" s="153"/>
    </row>
    <row r="87" spans="1:7" x14ac:dyDescent="0.2">
      <c r="A87" s="121"/>
      <c r="B87" s="121"/>
      <c r="C87" s="121"/>
      <c r="D87" s="203"/>
      <c r="E87" s="203"/>
      <c r="F87" s="118"/>
      <c r="G87" s="153"/>
    </row>
    <row r="88" spans="1:7" ht="13.5" thickBot="1" x14ac:dyDescent="0.25">
      <c r="A88" s="121" t="s">
        <v>249</v>
      </c>
      <c r="B88" s="121"/>
      <c r="C88" s="121"/>
      <c r="D88" s="203"/>
      <c r="E88" s="203"/>
      <c r="F88" s="120"/>
      <c r="G88" s="153"/>
    </row>
    <row r="89" spans="1:7" ht="13.5" thickBot="1" x14ac:dyDescent="0.25">
      <c r="A89" s="182" t="s">
        <v>43</v>
      </c>
      <c r="B89" s="183" t="s">
        <v>44</v>
      </c>
      <c r="C89" s="183" t="s">
        <v>25</v>
      </c>
      <c r="D89" s="184" t="s">
        <v>181</v>
      </c>
      <c r="E89" s="184" t="s">
        <v>45</v>
      </c>
      <c r="F89" s="211" t="s">
        <v>46</v>
      </c>
      <c r="G89" s="153"/>
    </row>
    <row r="90" spans="1:7" x14ac:dyDescent="0.2">
      <c r="A90" s="172" t="str">
        <f>A45</f>
        <v>1.1. Catador de material reciclável (CBO 5192)</v>
      </c>
      <c r="B90" s="189" t="s">
        <v>7</v>
      </c>
      <c r="C90" s="212">
        <f>E31*$C$82</f>
        <v>0</v>
      </c>
      <c r="D90" s="255"/>
      <c r="E90" s="171">
        <f>(C90*D90)-((C90*D90)*0.18)</f>
        <v>0</v>
      </c>
      <c r="F90" s="118"/>
      <c r="G90" s="153"/>
    </row>
    <row r="91" spans="1:7" ht="13.5" thickBot="1" x14ac:dyDescent="0.25">
      <c r="A91" s="172" t="str">
        <f>A55</f>
        <v>1.2. Operador Turno Dia</v>
      </c>
      <c r="B91" s="189" t="s">
        <v>7</v>
      </c>
      <c r="C91" s="212">
        <f>E32*$C$82</f>
        <v>0</v>
      </c>
      <c r="D91" s="255"/>
      <c r="E91" s="171">
        <f t="shared" ref="E91" si="3">C91*D91</f>
        <v>0</v>
      </c>
      <c r="F91" s="118"/>
      <c r="G91" s="153"/>
    </row>
    <row r="92" spans="1:7" ht="13.5" thickBot="1" x14ac:dyDescent="0.25">
      <c r="F92" s="213">
        <f>SUM(E90:E91)</f>
        <v>0</v>
      </c>
      <c r="G92" s="153"/>
    </row>
    <row r="93" spans="1:7" x14ac:dyDescent="0.2">
      <c r="G93" s="153"/>
    </row>
    <row r="94" spans="1:7" ht="13.5" thickBot="1" x14ac:dyDescent="0.25">
      <c r="A94" s="121" t="s">
        <v>250</v>
      </c>
      <c r="F94" s="118"/>
      <c r="G94" s="153"/>
    </row>
    <row r="95" spans="1:7" ht="13.5" thickBot="1" x14ac:dyDescent="0.25">
      <c r="A95" s="182" t="s">
        <v>43</v>
      </c>
      <c r="B95" s="183" t="s">
        <v>44</v>
      </c>
      <c r="C95" s="183" t="s">
        <v>25</v>
      </c>
      <c r="D95" s="184" t="s">
        <v>181</v>
      </c>
      <c r="E95" s="184" t="s">
        <v>45</v>
      </c>
      <c r="F95" s="185" t="s">
        <v>46</v>
      </c>
      <c r="G95" s="153"/>
    </row>
    <row r="96" spans="1:7" x14ac:dyDescent="0.2">
      <c r="A96" s="172" t="str">
        <f>+A90</f>
        <v>1.1. Catador de material reciclável (CBO 5192)</v>
      </c>
      <c r="B96" s="189" t="s">
        <v>7</v>
      </c>
      <c r="C96" s="212">
        <f>E31</f>
        <v>15</v>
      </c>
      <c r="D96" s="256"/>
      <c r="E96" s="207" t="s">
        <v>202</v>
      </c>
      <c r="F96" s="118"/>
      <c r="G96" s="153"/>
    </row>
    <row r="97" spans="1:7" ht="13.5" thickBot="1" x14ac:dyDescent="0.25">
      <c r="A97" s="172" t="str">
        <f>+A91</f>
        <v>1.2. Operador Turno Dia</v>
      </c>
      <c r="B97" s="189" t="s">
        <v>7</v>
      </c>
      <c r="C97" s="212">
        <f>E32</f>
        <v>0</v>
      </c>
      <c r="D97" s="256"/>
      <c r="E97" s="171">
        <f t="shared" ref="E97" si="4">C97*D97</f>
        <v>0</v>
      </c>
      <c r="F97" s="118"/>
      <c r="G97" s="153"/>
    </row>
    <row r="98" spans="1:7" ht="13.5" thickBot="1" x14ac:dyDescent="0.25">
      <c r="D98" s="195" t="s">
        <v>151</v>
      </c>
      <c r="E98" s="171">
        <f>$B$41</f>
        <v>0</v>
      </c>
      <c r="F98" s="213">
        <f>SUM(E96:E97)*E98</f>
        <v>0</v>
      </c>
      <c r="G98" s="153"/>
    </row>
    <row r="99" spans="1:7" x14ac:dyDescent="0.2">
      <c r="D99" s="195"/>
      <c r="E99" s="119"/>
      <c r="F99" s="118"/>
      <c r="G99" s="153"/>
    </row>
    <row r="100" spans="1:7" ht="13.5" thickBot="1" x14ac:dyDescent="0.25">
      <c r="A100" s="121" t="s">
        <v>251</v>
      </c>
      <c r="F100" s="118"/>
      <c r="G100" s="153"/>
    </row>
    <row r="101" spans="1:7" ht="13.5" thickBot="1" x14ac:dyDescent="0.25">
      <c r="A101" s="182" t="s">
        <v>43</v>
      </c>
      <c r="B101" s="183" t="s">
        <v>44</v>
      </c>
      <c r="C101" s="183" t="s">
        <v>25</v>
      </c>
      <c r="D101" s="184" t="s">
        <v>181</v>
      </c>
      <c r="E101" s="184" t="s">
        <v>45</v>
      </c>
      <c r="F101" s="185" t="s">
        <v>46</v>
      </c>
      <c r="G101" s="153"/>
    </row>
    <row r="102" spans="1:7" x14ac:dyDescent="0.2">
      <c r="A102" s="172" t="str">
        <f>+A96</f>
        <v>1.1. Catador de material reciclável (CBO 5192)</v>
      </c>
      <c r="B102" s="189" t="s">
        <v>7</v>
      </c>
      <c r="C102" s="212">
        <f>E31</f>
        <v>15</v>
      </c>
      <c r="D102" s="256"/>
      <c r="E102" s="207">
        <f>D102*C102</f>
        <v>0</v>
      </c>
      <c r="F102" s="118"/>
      <c r="G102" s="153"/>
    </row>
    <row r="103" spans="1:7" ht="13.5" thickBot="1" x14ac:dyDescent="0.25">
      <c r="A103" s="172" t="str">
        <f>+A97</f>
        <v>1.2. Operador Turno Dia</v>
      </c>
      <c r="B103" s="189" t="s">
        <v>7</v>
      </c>
      <c r="C103" s="212">
        <v>0</v>
      </c>
      <c r="D103" s="256"/>
      <c r="E103" s="207" t="s">
        <v>202</v>
      </c>
      <c r="F103" s="118"/>
      <c r="G103" s="153"/>
    </row>
    <row r="104" spans="1:7" ht="13.5" thickBot="1" x14ac:dyDescent="0.25">
      <c r="D104" s="195" t="s">
        <v>151</v>
      </c>
      <c r="E104" s="171">
        <f>$B$41</f>
        <v>0</v>
      </c>
      <c r="F104" s="213">
        <f>SUM(E102:E103)*E104</f>
        <v>0</v>
      </c>
      <c r="G104" s="153"/>
    </row>
    <row r="105" spans="1:7" ht="13.5" thickBot="1" x14ac:dyDescent="0.25">
      <c r="D105" s="195"/>
      <c r="E105" s="119"/>
      <c r="F105" s="118"/>
    </row>
    <row r="106" spans="1:7" ht="11.25" customHeight="1" thickBot="1" x14ac:dyDescent="0.25">
      <c r="A106" s="214" t="s">
        <v>63</v>
      </c>
      <c r="B106" s="215"/>
      <c r="C106" s="215"/>
      <c r="D106" s="216"/>
      <c r="E106" s="217"/>
      <c r="F106" s="213">
        <f>F98+F92+F86+F65+F53+F104+F77</f>
        <v>0</v>
      </c>
      <c r="G106" s="153"/>
    </row>
    <row r="107" spans="1:7" ht="27.75" customHeight="1" x14ac:dyDescent="0.2">
      <c r="G107" s="153"/>
    </row>
    <row r="108" spans="1:7" x14ac:dyDescent="0.2">
      <c r="A108" s="141" t="s">
        <v>29</v>
      </c>
      <c r="G108" s="153"/>
    </row>
    <row r="109" spans="1:7" ht="13.15" customHeight="1" x14ac:dyDescent="0.2">
      <c r="G109" s="153"/>
    </row>
    <row r="110" spans="1:7" ht="13.15" customHeight="1" x14ac:dyDescent="0.2">
      <c r="A110" s="121" t="s">
        <v>206</v>
      </c>
      <c r="G110" s="153"/>
    </row>
    <row r="111" spans="1:7" ht="13.5" thickBot="1" x14ac:dyDescent="0.25">
      <c r="G111" s="153"/>
    </row>
    <row r="112" spans="1:7" ht="28.5" customHeight="1" thickBot="1" x14ac:dyDescent="0.25">
      <c r="A112" s="182" t="s">
        <v>43</v>
      </c>
      <c r="B112" s="183" t="s">
        <v>44</v>
      </c>
      <c r="C112" s="218" t="s">
        <v>189</v>
      </c>
      <c r="D112" s="184" t="s">
        <v>181</v>
      </c>
      <c r="E112" s="184" t="s">
        <v>45</v>
      </c>
      <c r="F112" s="185" t="s">
        <v>46</v>
      </c>
      <c r="G112" s="153"/>
    </row>
    <row r="113" spans="1:7" ht="13.9" customHeight="1" x14ac:dyDescent="0.2">
      <c r="A113" s="186" t="s">
        <v>47</v>
      </c>
      <c r="B113" s="187" t="s">
        <v>7</v>
      </c>
      <c r="C113" s="257"/>
      <c r="D113" s="249"/>
      <c r="E113" s="188">
        <f>IFERROR(D113/C113,0)</f>
        <v>0</v>
      </c>
      <c r="G113" s="153"/>
    </row>
    <row r="114" spans="1:7" ht="13.9" customHeight="1" x14ac:dyDescent="0.2">
      <c r="A114" s="172" t="s">
        <v>18</v>
      </c>
      <c r="B114" s="189" t="s">
        <v>7</v>
      </c>
      <c r="C114" s="257"/>
      <c r="D114" s="249"/>
      <c r="E114" s="188">
        <f t="shared" ref="E114:E124" si="5">IFERROR(D114/C114,0)</f>
        <v>0</v>
      </c>
      <c r="G114" s="153"/>
    </row>
    <row r="115" spans="1:7" ht="13.15" customHeight="1" x14ac:dyDescent="0.2">
      <c r="A115" s="204" t="s">
        <v>231</v>
      </c>
      <c r="B115" s="189" t="s">
        <v>7</v>
      </c>
      <c r="C115" s="257"/>
      <c r="D115" s="249"/>
      <c r="E115" s="188">
        <f t="shared" si="5"/>
        <v>0</v>
      </c>
    </row>
    <row r="116" spans="1:7" x14ac:dyDescent="0.2">
      <c r="A116" s="204" t="s">
        <v>19</v>
      </c>
      <c r="B116" s="189" t="s">
        <v>7</v>
      </c>
      <c r="C116" s="257"/>
      <c r="D116" s="249"/>
      <c r="E116" s="188">
        <f t="shared" si="5"/>
        <v>0</v>
      </c>
    </row>
    <row r="117" spans="1:7" s="221" customFormat="1" x14ac:dyDescent="0.2">
      <c r="A117" s="204" t="s">
        <v>232</v>
      </c>
      <c r="B117" s="189" t="s">
        <v>7</v>
      </c>
      <c r="C117" s="257"/>
      <c r="D117" s="249"/>
      <c r="E117" s="188">
        <f t="shared" si="5"/>
        <v>0</v>
      </c>
      <c r="F117" s="154"/>
      <c r="G117" s="220"/>
    </row>
    <row r="118" spans="1:7" x14ac:dyDescent="0.2">
      <c r="A118" s="204" t="s">
        <v>203</v>
      </c>
      <c r="B118" s="189" t="s">
        <v>32</v>
      </c>
      <c r="C118" s="257"/>
      <c r="D118" s="249"/>
      <c r="E118" s="188">
        <f t="shared" si="5"/>
        <v>0</v>
      </c>
    </row>
    <row r="119" spans="1:7" ht="13.15" customHeight="1" x14ac:dyDescent="0.2">
      <c r="A119" s="204" t="s">
        <v>234</v>
      </c>
      <c r="B119" s="189" t="s">
        <v>7</v>
      </c>
      <c r="C119" s="257"/>
      <c r="D119" s="249"/>
      <c r="E119" s="188">
        <f t="shared" si="5"/>
        <v>0</v>
      </c>
    </row>
    <row r="120" spans="1:7" x14ac:dyDescent="0.2">
      <c r="A120" s="172" t="s">
        <v>64</v>
      </c>
      <c r="B120" s="189" t="s">
        <v>32</v>
      </c>
      <c r="C120" s="257"/>
      <c r="D120" s="249"/>
      <c r="E120" s="188">
        <f t="shared" si="5"/>
        <v>0</v>
      </c>
    </row>
    <row r="121" spans="1:7" x14ac:dyDescent="0.2">
      <c r="A121" s="204" t="s">
        <v>204</v>
      </c>
      <c r="B121" s="189" t="s">
        <v>7</v>
      </c>
      <c r="C121" s="257"/>
      <c r="D121" s="249"/>
      <c r="E121" s="188">
        <f t="shared" si="5"/>
        <v>0</v>
      </c>
    </row>
    <row r="122" spans="1:7" x14ac:dyDescent="0.2">
      <c r="A122" s="172" t="s">
        <v>20</v>
      </c>
      <c r="B122" s="219" t="s">
        <v>32</v>
      </c>
      <c r="C122" s="257"/>
      <c r="D122" s="249"/>
      <c r="E122" s="188">
        <f t="shared" si="5"/>
        <v>0</v>
      </c>
      <c r="F122" s="220"/>
    </row>
    <row r="123" spans="1:7" ht="11.25" customHeight="1" x14ac:dyDescent="0.2">
      <c r="A123" s="172" t="s">
        <v>42</v>
      </c>
      <c r="B123" s="189" t="s">
        <v>33</v>
      </c>
      <c r="C123" s="257"/>
      <c r="D123" s="249"/>
      <c r="E123" s="188">
        <f t="shared" si="5"/>
        <v>0</v>
      </c>
    </row>
    <row r="124" spans="1:7" ht="13.9" customHeight="1" x14ac:dyDescent="0.2">
      <c r="A124" s="204" t="s">
        <v>205</v>
      </c>
      <c r="B124" s="189" t="s">
        <v>7</v>
      </c>
      <c r="C124" s="257"/>
      <c r="D124" s="249"/>
      <c r="E124" s="188">
        <f t="shared" si="5"/>
        <v>0</v>
      </c>
    </row>
    <row r="125" spans="1:7" ht="11.25" customHeight="1" x14ac:dyDescent="0.2">
      <c r="A125" s="172" t="s">
        <v>153</v>
      </c>
      <c r="B125" s="189" t="s">
        <v>77</v>
      </c>
      <c r="C125" s="197">
        <v>1</v>
      </c>
      <c r="D125" s="249"/>
      <c r="E125" s="190">
        <f t="shared" ref="E125:E126" si="6">C125*D125</f>
        <v>0</v>
      </c>
    </row>
    <row r="126" spans="1:7" ht="13.5" thickBot="1" x14ac:dyDescent="0.25">
      <c r="A126" s="172" t="s">
        <v>4</v>
      </c>
      <c r="B126" s="189" t="s">
        <v>5</v>
      </c>
      <c r="C126" s="197">
        <f>E31</f>
        <v>15</v>
      </c>
      <c r="D126" s="190">
        <f>+SUM(E113:E125)</f>
        <v>0</v>
      </c>
      <c r="E126" s="190">
        <f t="shared" si="6"/>
        <v>0</v>
      </c>
    </row>
    <row r="127" spans="1:7" ht="13.5" thickBot="1" x14ac:dyDescent="0.25">
      <c r="D127" s="195" t="s">
        <v>151</v>
      </c>
      <c r="E127" s="171">
        <f>$B$41</f>
        <v>0</v>
      </c>
      <c r="F127" s="196">
        <f>E126*E127</f>
        <v>0</v>
      </c>
    </row>
    <row r="129" spans="1:10" x14ac:dyDescent="0.2">
      <c r="A129" s="153" t="s">
        <v>154</v>
      </c>
    </row>
    <row r="130" spans="1:10" ht="13.5" thickBot="1" x14ac:dyDescent="0.25"/>
    <row r="131" spans="1:10" ht="24.75" thickBot="1" x14ac:dyDescent="0.25">
      <c r="A131" s="182" t="s">
        <v>43</v>
      </c>
      <c r="B131" s="183" t="s">
        <v>44</v>
      </c>
      <c r="C131" s="218" t="s">
        <v>189</v>
      </c>
      <c r="D131" s="184" t="s">
        <v>181</v>
      </c>
      <c r="E131" s="184" t="s">
        <v>45</v>
      </c>
      <c r="F131" s="185" t="s">
        <v>46</v>
      </c>
    </row>
    <row r="132" spans="1:10" x14ac:dyDescent="0.2">
      <c r="A132" s="186" t="s">
        <v>47</v>
      </c>
      <c r="B132" s="187" t="s">
        <v>7</v>
      </c>
      <c r="C132" s="257"/>
      <c r="D132" s="188">
        <f>+D113</f>
        <v>0</v>
      </c>
      <c r="E132" s="188">
        <f>IFERROR(D132/C132,0)</f>
        <v>0</v>
      </c>
    </row>
    <row r="133" spans="1:10" x14ac:dyDescent="0.2">
      <c r="A133" s="172" t="s">
        <v>18</v>
      </c>
      <c r="B133" s="189" t="s">
        <v>7</v>
      </c>
      <c r="C133" s="257"/>
      <c r="D133" s="190">
        <f>+D114</f>
        <v>0</v>
      </c>
      <c r="E133" s="188">
        <f t="shared" ref="E133:E139" si="7">IFERROR(D133/C133,0)</f>
        <v>0</v>
      </c>
      <c r="G133" s="153"/>
    </row>
    <row r="134" spans="1:10" x14ac:dyDescent="0.2">
      <c r="A134" s="172" t="s">
        <v>19</v>
      </c>
      <c r="B134" s="189" t="s">
        <v>7</v>
      </c>
      <c r="C134" s="257"/>
      <c r="D134" s="190">
        <f>+D116</f>
        <v>0</v>
      </c>
      <c r="E134" s="188">
        <f t="shared" si="7"/>
        <v>0</v>
      </c>
      <c r="G134" s="153"/>
    </row>
    <row r="135" spans="1:10" x14ac:dyDescent="0.2">
      <c r="A135" s="204" t="s">
        <v>232</v>
      </c>
      <c r="B135" s="189" t="s">
        <v>7</v>
      </c>
      <c r="C135" s="257"/>
      <c r="D135" s="190">
        <v>9</v>
      </c>
      <c r="E135" s="188">
        <f t="shared" si="7"/>
        <v>0</v>
      </c>
      <c r="G135" s="153"/>
    </row>
    <row r="136" spans="1:10" x14ac:dyDescent="0.2">
      <c r="A136" s="204" t="s">
        <v>233</v>
      </c>
      <c r="B136" s="189" t="s">
        <v>7</v>
      </c>
      <c r="C136" s="257"/>
      <c r="D136" s="190">
        <v>30</v>
      </c>
      <c r="E136" s="188">
        <f t="shared" si="7"/>
        <v>0</v>
      </c>
      <c r="G136" s="153"/>
    </row>
    <row r="137" spans="1:10" x14ac:dyDescent="0.2">
      <c r="A137" s="204" t="s">
        <v>203</v>
      </c>
      <c r="B137" s="189" t="s">
        <v>32</v>
      </c>
      <c r="C137" s="257"/>
      <c r="D137" s="190">
        <f>+D118</f>
        <v>0</v>
      </c>
      <c r="E137" s="188">
        <f t="shared" si="7"/>
        <v>0</v>
      </c>
      <c r="G137" s="153"/>
    </row>
    <row r="138" spans="1:10" ht="11.25" customHeight="1" x14ac:dyDescent="0.2">
      <c r="A138" s="204" t="s">
        <v>204</v>
      </c>
      <c r="B138" s="189" t="s">
        <v>7</v>
      </c>
      <c r="C138" s="257"/>
      <c r="D138" s="190">
        <f>+D121</f>
        <v>0</v>
      </c>
      <c r="E138" s="188">
        <f t="shared" si="7"/>
        <v>0</v>
      </c>
      <c r="G138" s="153"/>
    </row>
    <row r="139" spans="1:10" x14ac:dyDescent="0.2">
      <c r="A139" s="172" t="s">
        <v>42</v>
      </c>
      <c r="B139" s="189" t="s">
        <v>33</v>
      </c>
      <c r="C139" s="257"/>
      <c r="D139" s="190">
        <f>+D123</f>
        <v>0</v>
      </c>
      <c r="E139" s="188">
        <f t="shared" si="7"/>
        <v>0</v>
      </c>
      <c r="G139" s="153"/>
    </row>
    <row r="140" spans="1:10" ht="11.25" customHeight="1" x14ac:dyDescent="0.2">
      <c r="A140" s="172" t="s">
        <v>153</v>
      </c>
      <c r="B140" s="189" t="s">
        <v>77</v>
      </c>
      <c r="C140" s="197">
        <v>1</v>
      </c>
      <c r="D140" s="249"/>
      <c r="E140" s="190">
        <f t="shared" ref="E140" si="8">C140*D140</f>
        <v>0</v>
      </c>
      <c r="G140" s="153"/>
    </row>
    <row r="141" spans="1:10" ht="13.5" thickBot="1" x14ac:dyDescent="0.25">
      <c r="A141" s="172" t="s">
        <v>4</v>
      </c>
      <c r="B141" s="189" t="s">
        <v>5</v>
      </c>
      <c r="C141" s="197">
        <f>E32+E33</f>
        <v>1</v>
      </c>
      <c r="D141" s="190">
        <f>+SUM(E132:E140)</f>
        <v>0</v>
      </c>
      <c r="E141" s="190">
        <f>C141*D141</f>
        <v>0</v>
      </c>
      <c r="G141" s="153"/>
    </row>
    <row r="142" spans="1:10" ht="11.25" customHeight="1" thickBot="1" x14ac:dyDescent="0.25">
      <c r="D142" s="195" t="s">
        <v>151</v>
      </c>
      <c r="E142" s="171">
        <f>$B$41</f>
        <v>0</v>
      </c>
      <c r="F142" s="196">
        <f>E141*E142</f>
        <v>0</v>
      </c>
      <c r="G142" s="153"/>
    </row>
    <row r="143" spans="1:10" ht="13.5" thickBot="1" x14ac:dyDescent="0.25">
      <c r="I143" s="229"/>
      <c r="J143" s="229"/>
    </row>
    <row r="144" spans="1:10" ht="13.5" thickBot="1" x14ac:dyDescent="0.25">
      <c r="A144" s="214" t="s">
        <v>155</v>
      </c>
      <c r="B144" s="222"/>
      <c r="C144" s="222"/>
      <c r="D144" s="223"/>
      <c r="E144" s="224"/>
      <c r="F144" s="225">
        <f>+F127+F142</f>
        <v>0</v>
      </c>
      <c r="I144" s="229"/>
      <c r="J144" s="229"/>
    </row>
    <row r="145" spans="1:10" ht="11.25" customHeight="1" x14ac:dyDescent="0.2">
      <c r="I145" s="229"/>
      <c r="J145" s="229"/>
    </row>
    <row r="146" spans="1:10" ht="11.25" customHeight="1" x14ac:dyDescent="0.2">
      <c r="A146" s="141" t="s">
        <v>37</v>
      </c>
      <c r="G146" s="153"/>
    </row>
    <row r="147" spans="1:10" x14ac:dyDescent="0.2">
      <c r="B147" s="226"/>
      <c r="G147" s="153"/>
    </row>
    <row r="148" spans="1:10" ht="11.25" customHeight="1" x14ac:dyDescent="0.2">
      <c r="A148" s="121" t="s">
        <v>241</v>
      </c>
      <c r="G148" s="153"/>
    </row>
    <row r="149" spans="1:10" x14ac:dyDescent="0.2">
      <c r="G149" s="153"/>
    </row>
    <row r="150" spans="1:10" ht="11.25" customHeight="1" thickBot="1" x14ac:dyDescent="0.25">
      <c r="A150" s="226" t="s">
        <v>30</v>
      </c>
      <c r="G150" s="153"/>
    </row>
    <row r="151" spans="1:10" ht="13.5" thickBot="1" x14ac:dyDescent="0.25">
      <c r="A151" s="182" t="s">
        <v>43</v>
      </c>
      <c r="B151" s="183" t="s">
        <v>44</v>
      </c>
      <c r="C151" s="183" t="s">
        <v>25</v>
      </c>
      <c r="D151" s="184" t="s">
        <v>181</v>
      </c>
      <c r="E151" s="184" t="s">
        <v>45</v>
      </c>
      <c r="F151" s="185" t="s">
        <v>46</v>
      </c>
      <c r="G151" s="153"/>
    </row>
    <row r="152" spans="1:10" ht="11.25" customHeight="1" x14ac:dyDescent="0.2">
      <c r="A152" s="186" t="s">
        <v>69</v>
      </c>
      <c r="B152" s="187" t="s">
        <v>7</v>
      </c>
      <c r="C152" s="187">
        <v>1</v>
      </c>
      <c r="D152" s="258"/>
      <c r="E152" s="188">
        <f>C152*D152</f>
        <v>0</v>
      </c>
      <c r="G152" s="153"/>
    </row>
    <row r="153" spans="1:10" x14ac:dyDescent="0.2">
      <c r="A153" s="172" t="s">
        <v>66</v>
      </c>
      <c r="B153" s="189" t="s">
        <v>67</v>
      </c>
      <c r="C153" s="189">
        <v>10</v>
      </c>
      <c r="D153" s="190"/>
      <c r="E153" s="190"/>
    </row>
    <row r="154" spans="1:10" ht="11.25" customHeight="1" x14ac:dyDescent="0.2">
      <c r="A154" s="172" t="s">
        <v>160</v>
      </c>
      <c r="B154" s="189" t="s">
        <v>67</v>
      </c>
      <c r="C154" s="250"/>
      <c r="D154" s="190"/>
      <c r="E154" s="190"/>
      <c r="F154" s="228"/>
    </row>
    <row r="155" spans="1:10" x14ac:dyDescent="0.2">
      <c r="A155" s="172" t="s">
        <v>68</v>
      </c>
      <c r="B155" s="189" t="s">
        <v>1</v>
      </c>
      <c r="C155" s="190">
        <v>62.12</v>
      </c>
      <c r="D155" s="190">
        <f>E152</f>
        <v>0</v>
      </c>
      <c r="E155" s="190">
        <f>C155*D155/100</f>
        <v>0</v>
      </c>
    </row>
    <row r="156" spans="1:10" ht="13.5" thickBot="1" x14ac:dyDescent="0.25">
      <c r="A156" s="230" t="s">
        <v>207</v>
      </c>
      <c r="B156" s="231" t="s">
        <v>6</v>
      </c>
      <c r="C156" s="231">
        <f>C153*12</f>
        <v>120</v>
      </c>
      <c r="D156" s="232">
        <f>IF(C154&lt;=C153,E155,0)</f>
        <v>0</v>
      </c>
      <c r="E156" s="232">
        <f>IFERROR(D156/C156,0)</f>
        <v>0</v>
      </c>
    </row>
    <row r="157" spans="1:10" ht="11.25" customHeight="1" thickTop="1" thickBot="1" x14ac:dyDescent="0.25">
      <c r="A157" s="175" t="s">
        <v>191</v>
      </c>
      <c r="B157" s="233" t="s">
        <v>7</v>
      </c>
      <c r="C157" s="250"/>
      <c r="D157" s="198">
        <f>E156</f>
        <v>0</v>
      </c>
      <c r="E157" s="194">
        <f>C157*D157</f>
        <v>0</v>
      </c>
    </row>
    <row r="158" spans="1:10" ht="17.25" customHeight="1" thickBot="1" x14ac:dyDescent="0.25">
      <c r="A158" s="234"/>
      <c r="B158" s="234"/>
      <c r="C158" s="234"/>
      <c r="D158" s="195" t="s">
        <v>151</v>
      </c>
      <c r="E158" s="171">
        <f>$B$41</f>
        <v>0</v>
      </c>
      <c r="F158" s="225">
        <f>E157*E158</f>
        <v>0</v>
      </c>
    </row>
    <row r="159" spans="1:10" ht="11.25" customHeight="1" x14ac:dyDescent="0.2"/>
    <row r="160" spans="1:10" ht="13.5" thickBot="1" x14ac:dyDescent="0.25">
      <c r="A160" s="226" t="s">
        <v>73</v>
      </c>
    </row>
    <row r="161" spans="1:10" ht="11.25" customHeight="1" thickBot="1" x14ac:dyDescent="0.25">
      <c r="A161" s="235" t="s">
        <v>43</v>
      </c>
      <c r="B161" s="236" t="s">
        <v>44</v>
      </c>
      <c r="C161" s="236" t="s">
        <v>25</v>
      </c>
      <c r="D161" s="184" t="s">
        <v>181</v>
      </c>
      <c r="E161" s="237" t="s">
        <v>45</v>
      </c>
      <c r="F161" s="185" t="s">
        <v>46</v>
      </c>
    </row>
    <row r="162" spans="1:10" ht="11.25" customHeight="1" x14ac:dyDescent="0.2">
      <c r="A162" s="172" t="s">
        <v>72</v>
      </c>
      <c r="B162" s="189" t="s">
        <v>7</v>
      </c>
      <c r="C162" s="189">
        <v>1</v>
      </c>
      <c r="D162" s="190">
        <f>D152</f>
        <v>0</v>
      </c>
      <c r="E162" s="190">
        <f>C162*D162</f>
        <v>0</v>
      </c>
      <c r="F162" s="228"/>
    </row>
    <row r="163" spans="1:10" ht="24.75" customHeight="1" x14ac:dyDescent="0.2">
      <c r="A163" s="172" t="s">
        <v>162</v>
      </c>
      <c r="B163" s="189" t="s">
        <v>1</v>
      </c>
      <c r="C163" s="189">
        <v>6</v>
      </c>
      <c r="D163" s="190"/>
      <c r="E163" s="190"/>
      <c r="F163" s="228"/>
    </row>
    <row r="164" spans="1:10" ht="12.6" customHeight="1" x14ac:dyDescent="0.2">
      <c r="A164" s="172" t="s">
        <v>161</v>
      </c>
      <c r="B164" s="189" t="s">
        <v>21</v>
      </c>
      <c r="C164" s="238">
        <f>IFERROR(IF(C154&lt;=C153,E152-(C155/(100*C153)*C154)*E152,E152-E155),0)</f>
        <v>0</v>
      </c>
      <c r="D164" s="190"/>
      <c r="E164" s="190"/>
      <c r="F164" s="228"/>
    </row>
    <row r="165" spans="1:10" x14ac:dyDescent="0.2">
      <c r="A165" s="172" t="s">
        <v>75</v>
      </c>
      <c r="B165" s="189" t="s">
        <v>21</v>
      </c>
      <c r="C165" s="190">
        <f>IFERROR(IF(C154&gt;=C153,C164,((((C164)-(E152-E155))*(((C153-C154)+1)/(2*(C153-C154))))+(E152-E155))),0)</f>
        <v>0</v>
      </c>
      <c r="D165" s="190"/>
      <c r="E165" s="190"/>
      <c r="F165" s="228"/>
      <c r="G165" s="153"/>
    </row>
    <row r="166" spans="1:10" ht="16.149999999999999" customHeight="1" thickBot="1" x14ac:dyDescent="0.25">
      <c r="A166" s="230" t="s">
        <v>76</v>
      </c>
      <c r="B166" s="231" t="s">
        <v>21</v>
      </c>
      <c r="C166" s="231"/>
      <c r="D166" s="232">
        <f>C163*C165/12/100</f>
        <v>0</v>
      </c>
      <c r="E166" s="232">
        <f>D166</f>
        <v>0</v>
      </c>
      <c r="F166" s="228"/>
      <c r="G166" s="153"/>
    </row>
    <row r="167" spans="1:10" ht="14.25" thickTop="1" thickBot="1" x14ac:dyDescent="0.25">
      <c r="A167" s="175" t="s">
        <v>191</v>
      </c>
      <c r="B167" s="233" t="s">
        <v>7</v>
      </c>
      <c r="C167" s="189">
        <f>C157</f>
        <v>0</v>
      </c>
      <c r="D167" s="198">
        <f>E166</f>
        <v>0</v>
      </c>
      <c r="E167" s="194">
        <f>C167*D167</f>
        <v>0</v>
      </c>
      <c r="F167" s="228"/>
    </row>
    <row r="168" spans="1:10" ht="25.5" customHeight="1" thickBot="1" x14ac:dyDescent="0.25">
      <c r="C168" s="239"/>
      <c r="D168" s="195" t="s">
        <v>151</v>
      </c>
      <c r="E168" s="171">
        <f>$B$41</f>
        <v>0</v>
      </c>
      <c r="F168" s="225">
        <f>E167*E168</f>
        <v>0</v>
      </c>
    </row>
    <row r="169" spans="1:10" ht="12.6" customHeight="1" x14ac:dyDescent="0.2"/>
    <row r="170" spans="1:10" s="124" customFormat="1" ht="9.75" customHeight="1" thickBot="1" x14ac:dyDescent="0.25">
      <c r="A170" s="121" t="s">
        <v>34</v>
      </c>
      <c r="B170" s="153"/>
      <c r="C170" s="153"/>
      <c r="D170" s="154"/>
      <c r="E170" s="154"/>
      <c r="F170" s="154"/>
      <c r="G170" s="154"/>
      <c r="H170" s="153"/>
      <c r="I170" s="153"/>
      <c r="J170" s="153"/>
    </row>
    <row r="171" spans="1:10" s="124" customFormat="1" ht="9.75" customHeight="1" thickBot="1" x14ac:dyDescent="0.25">
      <c r="A171" s="182" t="s">
        <v>43</v>
      </c>
      <c r="B171" s="183" t="s">
        <v>44</v>
      </c>
      <c r="C171" s="183" t="s">
        <v>25</v>
      </c>
      <c r="D171" s="184" t="s">
        <v>181</v>
      </c>
      <c r="E171" s="184" t="s">
        <v>45</v>
      </c>
      <c r="F171" s="185" t="s">
        <v>46</v>
      </c>
      <c r="G171" s="154"/>
      <c r="H171" s="153"/>
      <c r="I171" s="153"/>
      <c r="J171" s="153"/>
    </row>
    <row r="172" spans="1:10" s="124" customFormat="1" ht="9.75" customHeight="1" x14ac:dyDescent="0.2">
      <c r="A172" s="186" t="s">
        <v>8</v>
      </c>
      <c r="B172" s="187" t="s">
        <v>7</v>
      </c>
      <c r="C172" s="188">
        <f>C157</f>
        <v>0</v>
      </c>
      <c r="D172" s="227" t="s">
        <v>202</v>
      </c>
      <c r="E172" s="227" t="s">
        <v>202</v>
      </c>
      <c r="F172" s="154"/>
      <c r="G172" s="123"/>
    </row>
    <row r="173" spans="1:10" x14ac:dyDescent="0.2">
      <c r="A173" s="172" t="s">
        <v>150</v>
      </c>
      <c r="B173" s="189" t="s">
        <v>7</v>
      </c>
      <c r="C173" s="188">
        <f>C157</f>
        <v>0</v>
      </c>
      <c r="D173" s="265"/>
      <c r="E173" s="207" t="s">
        <v>202</v>
      </c>
    </row>
    <row r="174" spans="1:10" x14ac:dyDescent="0.2">
      <c r="A174" s="172" t="s">
        <v>9</v>
      </c>
      <c r="B174" s="189" t="s">
        <v>7</v>
      </c>
      <c r="C174" s="188">
        <f>C157</f>
        <v>0</v>
      </c>
      <c r="D174" s="265"/>
      <c r="E174" s="207" t="s">
        <v>202</v>
      </c>
      <c r="F174" s="117"/>
    </row>
    <row r="175" spans="1:10" ht="13.5" thickBot="1" x14ac:dyDescent="0.25">
      <c r="A175" s="175" t="s">
        <v>10</v>
      </c>
      <c r="B175" s="233" t="s">
        <v>6</v>
      </c>
      <c r="C175" s="233">
        <v>12</v>
      </c>
      <c r="D175" s="198" t="s">
        <v>202</v>
      </c>
      <c r="E175" s="198">
        <v>0</v>
      </c>
    </row>
    <row r="176" spans="1:10" ht="13.5" thickBot="1" x14ac:dyDescent="0.25">
      <c r="D176" s="195" t="s">
        <v>151</v>
      </c>
      <c r="E176" s="171">
        <f>$B$41</f>
        <v>0</v>
      </c>
      <c r="F176" s="196">
        <f>E175*E176</f>
        <v>0</v>
      </c>
    </row>
    <row r="178" spans="1:6" x14ac:dyDescent="0.2">
      <c r="A178" s="121" t="s">
        <v>35</v>
      </c>
      <c r="B178" s="240"/>
    </row>
    <row r="179" spans="1:6" x14ac:dyDescent="0.2">
      <c r="B179" s="240"/>
    </row>
    <row r="180" spans="1:6" x14ac:dyDescent="0.2">
      <c r="A180" s="175" t="s">
        <v>212</v>
      </c>
      <c r="B180" s="259"/>
    </row>
    <row r="181" spans="1:6" ht="13.5" thickBot="1" x14ac:dyDescent="0.25">
      <c r="B181" s="240">
        <v>0.3</v>
      </c>
    </row>
    <row r="182" spans="1:6" ht="13.5" thickBot="1" x14ac:dyDescent="0.25">
      <c r="A182" s="182" t="s">
        <v>43</v>
      </c>
      <c r="B182" s="183" t="s">
        <v>44</v>
      </c>
      <c r="C182" s="183" t="s">
        <v>190</v>
      </c>
      <c r="D182" s="184" t="s">
        <v>181</v>
      </c>
      <c r="E182" s="184" t="s">
        <v>45</v>
      </c>
      <c r="F182" s="185" t="s">
        <v>46</v>
      </c>
    </row>
    <row r="183" spans="1:6" x14ac:dyDescent="0.2">
      <c r="A183" s="210" t="s">
        <v>213</v>
      </c>
      <c r="B183" s="246" t="s">
        <v>225</v>
      </c>
      <c r="C183" s="260"/>
      <c r="D183" s="261"/>
      <c r="E183" s="188"/>
    </row>
    <row r="184" spans="1:6" x14ac:dyDescent="0.2">
      <c r="A184" s="172" t="s">
        <v>11</v>
      </c>
      <c r="B184" s="205" t="s">
        <v>219</v>
      </c>
      <c r="C184" s="242">
        <f>B180</f>
        <v>0</v>
      </c>
      <c r="D184" s="241">
        <f>IFERROR(+D183*C183,"-")</f>
        <v>0</v>
      </c>
      <c r="E184" s="190">
        <f>IFERROR(C184*D184,"-")</f>
        <v>0</v>
      </c>
    </row>
    <row r="185" spans="1:6" x14ac:dyDescent="0.2">
      <c r="A185" s="204" t="s">
        <v>214</v>
      </c>
      <c r="B185" s="205" t="s">
        <v>228</v>
      </c>
      <c r="C185" s="262"/>
      <c r="D185" s="252"/>
      <c r="E185" s="190"/>
    </row>
    <row r="186" spans="1:6" x14ac:dyDescent="0.2">
      <c r="A186" s="172" t="s">
        <v>12</v>
      </c>
      <c r="B186" s="205" t="s">
        <v>219</v>
      </c>
      <c r="C186" s="242">
        <f>C184</f>
        <v>0</v>
      </c>
      <c r="D186" s="243">
        <f>+C185*D185/100</f>
        <v>0</v>
      </c>
      <c r="E186" s="190">
        <f>C186*D186</f>
        <v>0</v>
      </c>
    </row>
    <row r="187" spans="1:6" x14ac:dyDescent="0.2">
      <c r="A187" s="204" t="s">
        <v>215</v>
      </c>
      <c r="B187" s="205" t="s">
        <v>228</v>
      </c>
      <c r="C187" s="262"/>
      <c r="D187" s="252"/>
      <c r="E187" s="190"/>
    </row>
    <row r="188" spans="1:6" x14ac:dyDescent="0.2">
      <c r="A188" s="172" t="s">
        <v>13</v>
      </c>
      <c r="B188" s="205" t="s">
        <v>219</v>
      </c>
      <c r="C188" s="242">
        <f>B180</f>
        <v>0</v>
      </c>
      <c r="D188" s="243">
        <f>+C187*D187/100</f>
        <v>0</v>
      </c>
      <c r="E188" s="190">
        <f>C188*D188</f>
        <v>0</v>
      </c>
    </row>
    <row r="189" spans="1:6" x14ac:dyDescent="0.2">
      <c r="A189" s="204" t="s">
        <v>216</v>
      </c>
      <c r="B189" s="205" t="s">
        <v>228</v>
      </c>
      <c r="C189" s="262"/>
      <c r="D189" s="252"/>
      <c r="E189" s="190"/>
    </row>
    <row r="190" spans="1:6" x14ac:dyDescent="0.2">
      <c r="A190" s="172" t="s">
        <v>14</v>
      </c>
      <c r="B190" s="205" t="s">
        <v>219</v>
      </c>
      <c r="C190" s="242">
        <f>C184</f>
        <v>0</v>
      </c>
      <c r="D190" s="243">
        <f>+C189*D189/100</f>
        <v>0</v>
      </c>
      <c r="E190" s="190">
        <f>C190*D190</f>
        <v>0</v>
      </c>
    </row>
    <row r="191" spans="1:6" x14ac:dyDescent="0.2">
      <c r="A191" s="204" t="s">
        <v>217</v>
      </c>
      <c r="B191" s="205" t="s">
        <v>229</v>
      </c>
      <c r="C191" s="262"/>
      <c r="D191" s="252"/>
      <c r="E191" s="190"/>
    </row>
    <row r="192" spans="1:6" x14ac:dyDescent="0.2">
      <c r="A192" s="172" t="s">
        <v>15</v>
      </c>
      <c r="B192" s="205" t="s">
        <v>219</v>
      </c>
      <c r="C192" s="242">
        <f>C184</f>
        <v>0</v>
      </c>
      <c r="D192" s="243">
        <f>+C191*D191/100</f>
        <v>0</v>
      </c>
      <c r="E192" s="190">
        <f>C192*D192</f>
        <v>0</v>
      </c>
    </row>
    <row r="193" spans="1:6" ht="13.5" thickBot="1" x14ac:dyDescent="0.25">
      <c r="A193" s="175" t="s">
        <v>218</v>
      </c>
      <c r="B193" s="233" t="s">
        <v>220</v>
      </c>
      <c r="C193" s="244"/>
      <c r="D193" s="245">
        <f>IFERROR(D184+D186+D188+D190+D192,0)</f>
        <v>0</v>
      </c>
      <c r="E193" s="190"/>
    </row>
    <row r="194" spans="1:6" ht="13.5" thickBot="1" x14ac:dyDescent="0.25">
      <c r="F194" s="225">
        <f>SUM(E183:E192)</f>
        <v>0</v>
      </c>
    </row>
    <row r="195" spans="1:6" ht="13.5" thickBot="1" x14ac:dyDescent="0.25">
      <c r="A195" s="121" t="s">
        <v>36</v>
      </c>
      <c r="D195" s="280"/>
    </row>
    <row r="196" spans="1:6" ht="13.5" thickBot="1" x14ac:dyDescent="0.25">
      <c r="A196" s="182" t="s">
        <v>43</v>
      </c>
      <c r="B196" s="183" t="s">
        <v>44</v>
      </c>
      <c r="C196" s="183" t="s">
        <v>25</v>
      </c>
      <c r="D196" s="184" t="s">
        <v>181</v>
      </c>
      <c r="E196" s="184" t="s">
        <v>45</v>
      </c>
      <c r="F196" s="185" t="s">
        <v>46</v>
      </c>
    </row>
    <row r="197" spans="1:6" ht="13.5" thickBot="1" x14ac:dyDescent="0.25">
      <c r="A197" s="210" t="s">
        <v>209</v>
      </c>
      <c r="B197" s="246" t="s">
        <v>220</v>
      </c>
      <c r="C197" s="242">
        <f>C184</f>
        <v>0</v>
      </c>
      <c r="D197" s="249"/>
      <c r="E197" s="188">
        <f>C197*D197</f>
        <v>0</v>
      </c>
    </row>
    <row r="198" spans="1:6" ht="13.5" thickBot="1" x14ac:dyDescent="0.25">
      <c r="F198" s="225">
        <f>E197</f>
        <v>0</v>
      </c>
    </row>
    <row r="200" spans="1:6" ht="13.5" thickBot="1" x14ac:dyDescent="0.25">
      <c r="A200" s="121" t="s">
        <v>41</v>
      </c>
    </row>
    <row r="201" spans="1:6" ht="13.5" thickBot="1" x14ac:dyDescent="0.25">
      <c r="A201" s="182" t="s">
        <v>43</v>
      </c>
      <c r="B201" s="183" t="s">
        <v>44</v>
      </c>
      <c r="C201" s="183" t="s">
        <v>25</v>
      </c>
      <c r="D201" s="184" t="s">
        <v>181</v>
      </c>
      <c r="E201" s="184" t="s">
        <v>45</v>
      </c>
      <c r="F201" s="185" t="s">
        <v>46</v>
      </c>
    </row>
    <row r="202" spans="1:6" x14ac:dyDescent="0.2">
      <c r="A202" s="210" t="s">
        <v>221</v>
      </c>
      <c r="B202" s="187" t="s">
        <v>7</v>
      </c>
      <c r="C202" s="263"/>
      <c r="D202" s="249"/>
      <c r="E202" s="188">
        <f>C202*D202</f>
        <v>0</v>
      </c>
    </row>
    <row r="203" spans="1:6" x14ac:dyDescent="0.2">
      <c r="A203" s="210" t="s">
        <v>222</v>
      </c>
      <c r="B203" s="187" t="s">
        <v>7</v>
      </c>
      <c r="C203" s="263"/>
      <c r="D203" s="188">
        <v>2400</v>
      </c>
      <c r="E203" s="188">
        <f>C203*D203</f>
        <v>0</v>
      </c>
    </row>
    <row r="204" spans="1:6" x14ac:dyDescent="0.2">
      <c r="A204" s="204" t="s">
        <v>223</v>
      </c>
      <c r="B204" s="205" t="s">
        <v>224</v>
      </c>
      <c r="C204" s="264"/>
      <c r="D204" s="190">
        <f>E202+E203</f>
        <v>0</v>
      </c>
      <c r="E204" s="190" t="str">
        <f>IFERROR(D204/C204,"-")</f>
        <v>-</v>
      </c>
    </row>
    <row r="205" spans="1:6" x14ac:dyDescent="0.2">
      <c r="A205" s="172" t="s">
        <v>38</v>
      </c>
      <c r="B205" s="205" t="s">
        <v>219</v>
      </c>
      <c r="C205" s="242">
        <f>B180</f>
        <v>0</v>
      </c>
      <c r="D205" s="190" t="str">
        <f>E204</f>
        <v>-</v>
      </c>
      <c r="E205" s="190">
        <f>IFERROR(C205*D205,0)</f>
        <v>0</v>
      </c>
    </row>
    <row r="206" spans="1:6" x14ac:dyDescent="0.2">
      <c r="F206" s="198">
        <f>E205</f>
        <v>0</v>
      </c>
    </row>
    <row r="207" spans="1:6" x14ac:dyDescent="0.2">
      <c r="A207" s="121" t="s">
        <v>242</v>
      </c>
    </row>
    <row r="209" spans="1:6" ht="13.5" thickBot="1" x14ac:dyDescent="0.25">
      <c r="A209" s="226" t="s">
        <v>210</v>
      </c>
    </row>
    <row r="210" spans="1:6" ht="13.5" thickBot="1" x14ac:dyDescent="0.25">
      <c r="A210" s="182" t="s">
        <v>43</v>
      </c>
      <c r="B210" s="183" t="s">
        <v>44</v>
      </c>
      <c r="C210" s="183" t="s">
        <v>25</v>
      </c>
      <c r="D210" s="184" t="s">
        <v>181</v>
      </c>
      <c r="E210" s="184" t="s">
        <v>45</v>
      </c>
      <c r="F210" s="185" t="s">
        <v>46</v>
      </c>
    </row>
    <row r="211" spans="1:6" x14ac:dyDescent="0.2">
      <c r="A211" s="210" t="s">
        <v>235</v>
      </c>
      <c r="B211" s="187" t="s">
        <v>7</v>
      </c>
      <c r="C211" s="187">
        <v>2</v>
      </c>
      <c r="D211" s="258"/>
      <c r="E211" s="188">
        <f>C211*D211</f>
        <v>0</v>
      </c>
    </row>
    <row r="212" spans="1:6" x14ac:dyDescent="0.2">
      <c r="A212" s="204" t="s">
        <v>237</v>
      </c>
      <c r="B212" s="189" t="s">
        <v>67</v>
      </c>
      <c r="C212" s="189">
        <v>15</v>
      </c>
      <c r="D212" s="190"/>
      <c r="E212" s="190"/>
    </row>
    <row r="213" spans="1:6" x14ac:dyDescent="0.2">
      <c r="A213" s="204" t="s">
        <v>236</v>
      </c>
      <c r="B213" s="189" t="s">
        <v>67</v>
      </c>
      <c r="C213" s="250"/>
      <c r="D213" s="190"/>
      <c r="E213" s="190"/>
      <c r="F213" s="228"/>
    </row>
    <row r="214" spans="1:6" x14ac:dyDescent="0.2">
      <c r="A214" s="204" t="s">
        <v>238</v>
      </c>
      <c r="B214" s="189" t="s">
        <v>1</v>
      </c>
      <c r="C214" s="190">
        <v>70.73</v>
      </c>
      <c r="D214" s="190">
        <f>E211</f>
        <v>0</v>
      </c>
      <c r="E214" s="190">
        <f>C214*D214/100</f>
        <v>0</v>
      </c>
    </row>
    <row r="215" spans="1:6" ht="13.5" thickBot="1" x14ac:dyDescent="0.25">
      <c r="A215" s="230" t="s">
        <v>207</v>
      </c>
      <c r="B215" s="231" t="s">
        <v>6</v>
      </c>
      <c r="C215" s="231">
        <f>C212*12</f>
        <v>180</v>
      </c>
      <c r="D215" s="232">
        <f>IF(C213&lt;=C212,E214,0)</f>
        <v>0</v>
      </c>
      <c r="E215" s="232">
        <f>IFERROR(D215/C215,0)</f>
        <v>0</v>
      </c>
    </row>
    <row r="216" spans="1:6" ht="14.25" thickTop="1" thickBot="1" x14ac:dyDescent="0.25">
      <c r="A216" s="175" t="s">
        <v>240</v>
      </c>
      <c r="B216" s="233" t="s">
        <v>7</v>
      </c>
      <c r="C216" s="250"/>
      <c r="D216" s="198">
        <f>E215</f>
        <v>0</v>
      </c>
      <c r="E216" s="194">
        <f>C216*D216</f>
        <v>0</v>
      </c>
    </row>
    <row r="217" spans="1:6" ht="13.5" thickBot="1" x14ac:dyDescent="0.25">
      <c r="A217" s="234"/>
      <c r="B217" s="234"/>
      <c r="C217" s="234"/>
      <c r="D217" s="195" t="s">
        <v>151</v>
      </c>
      <c r="E217" s="171">
        <f>$B$41</f>
        <v>0</v>
      </c>
      <c r="F217" s="225">
        <f>E216*E217</f>
        <v>0</v>
      </c>
    </row>
    <row r="219" spans="1:6" ht="13.5" thickBot="1" x14ac:dyDescent="0.25">
      <c r="A219" s="226" t="s">
        <v>211</v>
      </c>
    </row>
    <row r="220" spans="1:6" ht="13.5" thickBot="1" x14ac:dyDescent="0.25">
      <c r="A220" s="235" t="s">
        <v>43</v>
      </c>
      <c r="B220" s="236" t="s">
        <v>44</v>
      </c>
      <c r="C220" s="236" t="s">
        <v>25</v>
      </c>
      <c r="D220" s="184" t="s">
        <v>181</v>
      </c>
      <c r="E220" s="237" t="s">
        <v>45</v>
      </c>
      <c r="F220" s="185" t="s">
        <v>46</v>
      </c>
    </row>
    <row r="221" spans="1:6" x14ac:dyDescent="0.2">
      <c r="A221" s="172" t="s">
        <v>72</v>
      </c>
      <c r="B221" s="189" t="s">
        <v>7</v>
      </c>
      <c r="C221" s="189">
        <f>C211</f>
        <v>2</v>
      </c>
      <c r="D221" s="190">
        <f>D211</f>
        <v>0</v>
      </c>
      <c r="E221" s="190">
        <f>C221*D221</f>
        <v>0</v>
      </c>
      <c r="F221" s="228"/>
    </row>
    <row r="222" spans="1:6" x14ac:dyDescent="0.2">
      <c r="A222" s="172" t="s">
        <v>162</v>
      </c>
      <c r="B222" s="189" t="s">
        <v>1</v>
      </c>
      <c r="C222" s="266">
        <v>6</v>
      </c>
      <c r="D222" s="190"/>
      <c r="E222" s="190"/>
      <c r="F222" s="228"/>
    </row>
    <row r="223" spans="1:6" x14ac:dyDescent="0.2">
      <c r="A223" s="172" t="s">
        <v>161</v>
      </c>
      <c r="B223" s="189" t="s">
        <v>21</v>
      </c>
      <c r="C223" s="238">
        <f>IFERROR(IF(C213&lt;=C212,E211-(C214/(100*C212)*C213)*E211,E211-E214),0)</f>
        <v>0</v>
      </c>
      <c r="D223" s="190"/>
      <c r="E223" s="190"/>
      <c r="F223" s="228"/>
    </row>
    <row r="224" spans="1:6" x14ac:dyDescent="0.2">
      <c r="A224" s="172" t="s">
        <v>75</v>
      </c>
      <c r="B224" s="189" t="s">
        <v>21</v>
      </c>
      <c r="C224" s="190">
        <f>IFERROR(IF(C213&gt;=C212,C223,((((C223)-(E211-E214))*(((C212-C213)+1)/(2*(C212-C213))))+(E211-E214))),0)</f>
        <v>0</v>
      </c>
      <c r="D224" s="190"/>
      <c r="E224" s="190"/>
      <c r="F224" s="228"/>
    </row>
    <row r="225" spans="1:6" ht="13.5" thickBot="1" x14ac:dyDescent="0.25">
      <c r="A225" s="230" t="s">
        <v>76</v>
      </c>
      <c r="B225" s="231" t="s">
        <v>21</v>
      </c>
      <c r="C225" s="231"/>
      <c r="D225" s="232">
        <f>C222*C224/12/100</f>
        <v>0</v>
      </c>
      <c r="E225" s="232">
        <f>D225</f>
        <v>0</v>
      </c>
      <c r="F225" s="228"/>
    </row>
    <row r="226" spans="1:6" ht="14.25" thickTop="1" thickBot="1" x14ac:dyDescent="0.25">
      <c r="A226" s="175" t="s">
        <v>191</v>
      </c>
      <c r="B226" s="233" t="s">
        <v>7</v>
      </c>
      <c r="C226" s="189">
        <f>C216</f>
        <v>0</v>
      </c>
      <c r="D226" s="198">
        <f>E225</f>
        <v>0</v>
      </c>
      <c r="E226" s="194">
        <f>C226*D226</f>
        <v>0</v>
      </c>
      <c r="F226" s="228"/>
    </row>
    <row r="227" spans="1:6" ht="13.5" thickBot="1" x14ac:dyDescent="0.25">
      <c r="C227" s="239"/>
      <c r="D227" s="195" t="s">
        <v>151</v>
      </c>
      <c r="E227" s="171">
        <f>$B$41</f>
        <v>0</v>
      </c>
      <c r="F227" s="225">
        <f>E226*E227</f>
        <v>0</v>
      </c>
    </row>
    <row r="228" spans="1:6" ht="13.5" thickBot="1" x14ac:dyDescent="0.25"/>
    <row r="229" spans="1:6" ht="13.5" thickBot="1" x14ac:dyDescent="0.25">
      <c r="A229" s="214" t="s">
        <v>169</v>
      </c>
      <c r="B229" s="215"/>
      <c r="C229" s="215"/>
      <c r="D229" s="216"/>
      <c r="E229" s="217"/>
      <c r="F229" s="225">
        <f>+SUM(F148:F227)</f>
        <v>0</v>
      </c>
    </row>
    <row r="231" spans="1:6" x14ac:dyDescent="0.2">
      <c r="A231" s="180" t="s">
        <v>49</v>
      </c>
      <c r="B231" s="180"/>
      <c r="C231" s="180"/>
      <c r="D231" s="118"/>
      <c r="E231" s="118"/>
      <c r="F231" s="117"/>
    </row>
    <row r="232" spans="1:6" ht="13.5" thickBot="1" x14ac:dyDescent="0.25"/>
    <row r="233" spans="1:6" ht="13.5" thickBot="1" x14ac:dyDescent="0.25">
      <c r="A233" s="182" t="s">
        <v>43</v>
      </c>
      <c r="B233" s="183" t="s">
        <v>44</v>
      </c>
      <c r="C233" s="183" t="s">
        <v>25</v>
      </c>
      <c r="D233" s="184" t="s">
        <v>181</v>
      </c>
      <c r="E233" s="184" t="s">
        <v>45</v>
      </c>
      <c r="F233" s="185" t="s">
        <v>46</v>
      </c>
    </row>
    <row r="234" spans="1:6" x14ac:dyDescent="0.2">
      <c r="A234" s="172" t="s">
        <v>16</v>
      </c>
      <c r="B234" s="189" t="s">
        <v>7</v>
      </c>
      <c r="C234" s="247">
        <v>8.3333333333333329E-2</v>
      </c>
      <c r="D234" s="249"/>
      <c r="E234" s="190">
        <f>C234*D234</f>
        <v>0</v>
      </c>
      <c r="F234" s="201"/>
    </row>
    <row r="235" spans="1:6" x14ac:dyDescent="0.2">
      <c r="A235" s="172" t="s">
        <v>17</v>
      </c>
      <c r="B235" s="189" t="s">
        <v>7</v>
      </c>
      <c r="C235" s="247">
        <v>0.5</v>
      </c>
      <c r="D235" s="249"/>
      <c r="E235" s="190">
        <f>C235*D235</f>
        <v>0</v>
      </c>
      <c r="F235" s="201"/>
    </row>
    <row r="236" spans="1:6" x14ac:dyDescent="0.2">
      <c r="A236" s="204" t="s">
        <v>208</v>
      </c>
      <c r="B236" s="189" t="s">
        <v>7</v>
      </c>
      <c r="C236" s="247">
        <v>0.5</v>
      </c>
      <c r="D236" s="249"/>
      <c r="E236" s="190">
        <f t="shared" ref="E236:E237" si="9">C236*D236</f>
        <v>0</v>
      </c>
      <c r="F236" s="201"/>
    </row>
    <row r="237" spans="1:6" ht="13.5" thickBot="1" x14ac:dyDescent="0.25">
      <c r="A237" s="204" t="s">
        <v>239</v>
      </c>
      <c r="B237" s="189" t="s">
        <v>7</v>
      </c>
      <c r="C237" s="247">
        <v>0.25</v>
      </c>
      <c r="D237" s="249"/>
      <c r="E237" s="190">
        <f t="shared" si="9"/>
        <v>0</v>
      </c>
      <c r="F237" s="201"/>
    </row>
    <row r="238" spans="1:6" ht="13.5" thickBot="1" x14ac:dyDescent="0.25">
      <c r="A238" s="180"/>
      <c r="B238" s="180"/>
      <c r="C238" s="180"/>
      <c r="D238" s="180"/>
      <c r="E238" s="118"/>
      <c r="F238" s="225">
        <f>SUM(E234:E237)</f>
        <v>0</v>
      </c>
    </row>
    <row r="239" spans="1:6" ht="13.5" thickBot="1" x14ac:dyDescent="0.25"/>
    <row r="240" spans="1:6" ht="13.5" thickBot="1" x14ac:dyDescent="0.25">
      <c r="A240" s="214" t="s">
        <v>170</v>
      </c>
      <c r="B240" s="215"/>
      <c r="C240" s="215"/>
      <c r="D240" s="216"/>
      <c r="E240" s="217"/>
      <c r="F240" s="225">
        <f>+F238/12</f>
        <v>0</v>
      </c>
    </row>
    <row r="241" spans="1:6" ht="13.5" thickBot="1" x14ac:dyDescent="0.25"/>
    <row r="242" spans="1:6" ht="13.5" thickBot="1" x14ac:dyDescent="0.25">
      <c r="A242" s="214" t="s">
        <v>171</v>
      </c>
      <c r="B242" s="222"/>
      <c r="C242" s="222"/>
      <c r="D242" s="223"/>
      <c r="E242" s="224"/>
      <c r="F242" s="213">
        <f>+F106+F144+F229+F240</f>
        <v>0</v>
      </c>
    </row>
    <row r="244" spans="1:6" x14ac:dyDescent="0.2">
      <c r="A244" s="141" t="s">
        <v>244</v>
      </c>
    </row>
    <row r="245" spans="1:6" ht="13.5" thickBot="1" x14ac:dyDescent="0.25"/>
    <row r="246" spans="1:6" ht="13.5" thickBot="1" x14ac:dyDescent="0.25">
      <c r="A246" s="182" t="s">
        <v>43</v>
      </c>
      <c r="B246" s="183" t="s">
        <v>44</v>
      </c>
      <c r="C246" s="183" t="s">
        <v>25</v>
      </c>
      <c r="D246" s="184" t="s">
        <v>181</v>
      </c>
      <c r="E246" s="184" t="s">
        <v>45</v>
      </c>
      <c r="F246" s="185" t="s">
        <v>46</v>
      </c>
    </row>
    <row r="247" spans="1:6" ht="13.5" thickBot="1" x14ac:dyDescent="0.25">
      <c r="A247" s="186" t="s">
        <v>22</v>
      </c>
      <c r="B247" s="187" t="s">
        <v>1</v>
      </c>
      <c r="C247" s="190">
        <f>'4.BDI'!C18*100</f>
        <v>0</v>
      </c>
      <c r="D247" s="188">
        <f>+F242</f>
        <v>0</v>
      </c>
      <c r="E247" s="188">
        <f>C247*D247/100</f>
        <v>0</v>
      </c>
    </row>
    <row r="248" spans="1:6" ht="13.5" thickBot="1" x14ac:dyDescent="0.25">
      <c r="F248" s="225">
        <f>+E247</f>
        <v>0</v>
      </c>
    </row>
    <row r="249" spans="1:6" ht="13.5" thickBot="1" x14ac:dyDescent="0.25"/>
    <row r="250" spans="1:6" ht="13.5" thickBot="1" x14ac:dyDescent="0.25">
      <c r="A250" s="214" t="s">
        <v>172</v>
      </c>
      <c r="B250" s="222"/>
      <c r="C250" s="222"/>
      <c r="D250" s="223"/>
      <c r="E250" s="224"/>
      <c r="F250" s="213">
        <f>F242+F248</f>
        <v>0</v>
      </c>
    </row>
    <row r="251" spans="1:6" x14ac:dyDescent="0.2">
      <c r="A251" s="180"/>
      <c r="B251" s="180"/>
      <c r="C251" s="180"/>
      <c r="D251" s="118"/>
      <c r="E251" s="118"/>
      <c r="F251" s="118"/>
    </row>
  </sheetData>
  <mergeCells count="10">
    <mergeCell ref="A2:F2"/>
    <mergeCell ref="A3:F3"/>
    <mergeCell ref="A30:D30"/>
    <mergeCell ref="A5:F5"/>
    <mergeCell ref="A29:E29"/>
    <mergeCell ref="A37:D37"/>
    <mergeCell ref="A38:D38"/>
    <mergeCell ref="A39:D39"/>
    <mergeCell ref="A36:D36"/>
    <mergeCell ref="A14:C14"/>
  </mergeCells>
  <phoneticPr fontId="9" type="noConversion"/>
  <hyperlinks>
    <hyperlink ref="A160" location="AbaRemun" display="3.1.2. Remuneração do Capital"/>
    <hyperlink ref="A150" location="AbaDeprec" display="3.1.1. Depreciação"/>
    <hyperlink ref="A219" location="AbaRemun" display="3.1.2. Remuneração do Capital"/>
    <hyperlink ref="A209" location="AbaDeprec" display="3.1.1. Depreciação"/>
  </hyperlinks>
  <pageMargins left="0.9055118110236221" right="0.51181102362204722" top="0.74803149606299213" bottom="0.74803149606299213" header="0.31496062992125984" footer="0.31496062992125984"/>
  <pageSetup paperSize="9" scale="76" fitToHeight="0" orientation="portrait" r:id="rId1"/>
  <headerFooter alignWithMargins="0">
    <oddFooter>&amp;R&amp;P de &amp;N</oddFooter>
  </headerFooter>
  <rowBreaks count="3" manualBreakCount="3">
    <brk id="42" max="5" man="1"/>
    <brk id="107" max="5" man="1"/>
    <brk id="177" max="5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opLeftCell="A19" zoomScaleNormal="100" workbookViewId="0">
      <selection activeCell="D39" sqref="A1:D39"/>
    </sheetView>
  </sheetViews>
  <sheetFormatPr defaultRowHeight="12.75" x14ac:dyDescent="0.2"/>
  <cols>
    <col min="1" max="1" width="13.5703125" style="1" customWidth="1"/>
    <col min="2" max="2" width="36.7109375" style="1" bestFit="1" customWidth="1"/>
    <col min="3" max="3" width="14.5703125" style="1" customWidth="1"/>
    <col min="4" max="4" width="37.28515625" style="13" customWidth="1"/>
    <col min="5" max="10" width="9.140625" style="1"/>
    <col min="11" max="11" width="11" style="1" bestFit="1" customWidth="1"/>
    <col min="12" max="16384" width="9.140625" style="1"/>
  </cols>
  <sheetData>
    <row r="1" spans="1:12" x14ac:dyDescent="0.2">
      <c r="A1" s="3"/>
      <c r="B1" s="268"/>
      <c r="C1" s="268"/>
    </row>
    <row r="2" spans="1:12" x14ac:dyDescent="0.2">
      <c r="A2" s="269"/>
      <c r="B2" s="268"/>
      <c r="C2" s="268"/>
    </row>
    <row r="3" spans="1:12" x14ac:dyDescent="0.2">
      <c r="A3" s="270"/>
      <c r="B3" s="271"/>
      <c r="C3" s="271"/>
    </row>
    <row r="4" spans="1:12" ht="18" x14ac:dyDescent="0.2">
      <c r="A4" s="272"/>
      <c r="B4" s="271"/>
      <c r="C4" s="271"/>
      <c r="D4" s="11"/>
      <c r="E4" s="11"/>
      <c r="F4" s="11"/>
    </row>
    <row r="5" spans="1:12" ht="15.75" x14ac:dyDescent="0.2">
      <c r="A5" s="272"/>
      <c r="B5" s="273"/>
      <c r="C5" s="273"/>
      <c r="D5" s="29"/>
    </row>
    <row r="6" spans="1:12" ht="15" thickBot="1" x14ac:dyDescent="0.25">
      <c r="A6" s="268"/>
      <c r="B6" s="268"/>
      <c r="C6" s="268"/>
      <c r="D6" s="29"/>
      <c r="F6" s="13"/>
      <c r="G6" s="13"/>
      <c r="H6" s="13"/>
      <c r="I6" s="13"/>
      <c r="J6" s="13"/>
      <c r="K6" s="13"/>
      <c r="L6" s="13"/>
    </row>
    <row r="7" spans="1:12" ht="18" x14ac:dyDescent="0.2">
      <c r="A7" s="307" t="s">
        <v>175</v>
      </c>
      <c r="B7" s="308"/>
      <c r="C7" s="309"/>
      <c r="D7" s="29"/>
      <c r="F7" s="13"/>
      <c r="G7" s="13"/>
      <c r="H7" s="13"/>
      <c r="I7" s="13"/>
      <c r="J7" s="13"/>
      <c r="K7" s="13"/>
      <c r="L7" s="13"/>
    </row>
    <row r="8" spans="1:12" ht="14.25" x14ac:dyDescent="0.2">
      <c r="A8" s="26" t="s">
        <v>97</v>
      </c>
      <c r="B8" s="27" t="s">
        <v>98</v>
      </c>
      <c r="C8" s="28" t="s">
        <v>99</v>
      </c>
      <c r="D8" s="29"/>
      <c r="F8" s="13"/>
      <c r="G8" s="13"/>
      <c r="H8" s="13"/>
      <c r="I8" s="13"/>
      <c r="J8" s="13"/>
      <c r="K8" s="13"/>
      <c r="L8" s="13"/>
    </row>
    <row r="9" spans="1:12" ht="14.25" x14ac:dyDescent="0.2">
      <c r="A9" s="26" t="s">
        <v>100</v>
      </c>
      <c r="B9" s="27" t="s">
        <v>26</v>
      </c>
      <c r="C9" s="30">
        <v>0.2</v>
      </c>
      <c r="D9" s="29"/>
      <c r="F9" s="13"/>
      <c r="G9" s="13"/>
      <c r="H9" s="13"/>
      <c r="I9" s="13"/>
      <c r="J9" s="13"/>
      <c r="K9" s="13"/>
      <c r="L9" s="13"/>
    </row>
    <row r="10" spans="1:12" ht="14.25" x14ac:dyDescent="0.2">
      <c r="A10" s="26" t="s">
        <v>101</v>
      </c>
      <c r="B10" s="27" t="s">
        <v>102</v>
      </c>
      <c r="C10" s="30">
        <v>1.4999999999999999E-2</v>
      </c>
      <c r="D10" s="29"/>
      <c r="F10" s="13"/>
      <c r="G10" s="13"/>
      <c r="H10" s="13"/>
      <c r="I10" s="13"/>
      <c r="J10" s="13"/>
      <c r="K10" s="13"/>
      <c r="L10" s="13"/>
    </row>
    <row r="11" spans="1:12" ht="14.25" x14ac:dyDescent="0.2">
      <c r="A11" s="26" t="s">
        <v>103</v>
      </c>
      <c r="B11" s="27" t="s">
        <v>104</v>
      </c>
      <c r="C11" s="30">
        <v>0.01</v>
      </c>
      <c r="D11" s="29"/>
      <c r="F11" s="13"/>
      <c r="G11" s="13"/>
      <c r="H11" s="13"/>
      <c r="I11" s="13"/>
      <c r="J11" s="13"/>
      <c r="K11" s="13"/>
      <c r="L11" s="13"/>
    </row>
    <row r="12" spans="1:12" ht="14.25" x14ac:dyDescent="0.2">
      <c r="A12" s="26" t="s">
        <v>105</v>
      </c>
      <c r="B12" s="27" t="s">
        <v>106</v>
      </c>
      <c r="C12" s="30">
        <v>2E-3</v>
      </c>
      <c r="D12" s="29"/>
      <c r="F12" s="13"/>
      <c r="G12" s="13"/>
      <c r="H12" s="13"/>
      <c r="I12" s="13"/>
      <c r="J12" s="13"/>
      <c r="K12" s="13"/>
      <c r="L12" s="13"/>
    </row>
    <row r="13" spans="1:12" ht="14.25" x14ac:dyDescent="0.2">
      <c r="A13" s="26" t="s">
        <v>107</v>
      </c>
      <c r="B13" s="27" t="s">
        <v>108</v>
      </c>
      <c r="C13" s="30">
        <v>6.0000000000000001E-3</v>
      </c>
      <c r="D13" s="31"/>
      <c r="F13" s="13"/>
      <c r="G13" s="13"/>
      <c r="H13" s="13"/>
      <c r="I13" s="13"/>
      <c r="J13" s="13"/>
      <c r="K13" s="13"/>
      <c r="L13" s="13"/>
    </row>
    <row r="14" spans="1:12" ht="14.25" x14ac:dyDescent="0.2">
      <c r="A14" s="26" t="s">
        <v>109</v>
      </c>
      <c r="B14" s="27" t="s">
        <v>110</v>
      </c>
      <c r="C14" s="30">
        <v>2.5000000000000001E-2</v>
      </c>
      <c r="D14" s="31"/>
      <c r="F14" s="13"/>
      <c r="G14" s="13"/>
      <c r="H14" s="13"/>
      <c r="I14" s="13"/>
      <c r="J14" s="13"/>
      <c r="K14" s="13"/>
      <c r="L14" s="13"/>
    </row>
    <row r="15" spans="1:12" ht="14.25" x14ac:dyDescent="0.2">
      <c r="A15" s="26" t="s">
        <v>111</v>
      </c>
      <c r="B15" s="27" t="s">
        <v>112</v>
      </c>
      <c r="C15" s="30">
        <v>0.03</v>
      </c>
      <c r="D15" s="31"/>
      <c r="F15" s="13"/>
      <c r="G15" s="13"/>
      <c r="H15" s="13"/>
      <c r="I15" s="13"/>
      <c r="J15" s="13"/>
      <c r="K15" s="13"/>
      <c r="L15" s="13"/>
    </row>
    <row r="16" spans="1:12" ht="14.25" x14ac:dyDescent="0.2">
      <c r="A16" s="26" t="s">
        <v>113</v>
      </c>
      <c r="B16" s="27" t="s">
        <v>27</v>
      </c>
      <c r="C16" s="30">
        <v>0.08</v>
      </c>
      <c r="D16" s="31"/>
      <c r="F16" s="13"/>
      <c r="G16" s="13"/>
      <c r="H16" s="13"/>
      <c r="I16" s="13"/>
      <c r="J16" s="13"/>
      <c r="K16" s="13"/>
      <c r="L16" s="13"/>
    </row>
    <row r="17" spans="1:12" ht="15" x14ac:dyDescent="0.2">
      <c r="A17" s="26" t="s">
        <v>114</v>
      </c>
      <c r="B17" s="32" t="s">
        <v>115</v>
      </c>
      <c r="C17" s="33">
        <f>SUM(C9:C16)</f>
        <v>0.36800000000000005</v>
      </c>
      <c r="D17" s="31"/>
      <c r="F17" s="13"/>
      <c r="G17" s="13"/>
      <c r="H17" s="13"/>
      <c r="I17" s="13"/>
      <c r="J17" s="13"/>
      <c r="K17" s="13"/>
      <c r="L17" s="13"/>
    </row>
    <row r="18" spans="1:12" ht="15" x14ac:dyDescent="0.2">
      <c r="A18" s="34"/>
      <c r="B18" s="35"/>
      <c r="C18" s="36"/>
      <c r="D18" s="31"/>
      <c r="F18" s="13"/>
      <c r="G18" s="13"/>
      <c r="H18" s="13"/>
      <c r="I18" s="13"/>
      <c r="J18" s="13"/>
      <c r="K18" s="13"/>
      <c r="L18" s="13"/>
    </row>
    <row r="19" spans="1:12" ht="14.25" x14ac:dyDescent="0.2">
      <c r="A19" s="26" t="s">
        <v>116</v>
      </c>
      <c r="B19" s="37" t="s">
        <v>117</v>
      </c>
      <c r="C19" s="30">
        <f>ROUND(IF('[1]3.CAGED'!C32&gt;24,(1-12/'[1]3.CAGED'!C32)*0.1111,0.1111-C28),4)</f>
        <v>6.5699999999999995E-2</v>
      </c>
      <c r="D19" s="31"/>
      <c r="F19" s="13"/>
      <c r="G19" s="13"/>
      <c r="H19" s="13"/>
      <c r="I19" s="13"/>
      <c r="J19" s="13"/>
      <c r="K19" s="13"/>
      <c r="L19" s="13"/>
    </row>
    <row r="20" spans="1:12" ht="14.25" x14ac:dyDescent="0.2">
      <c r="A20" s="26" t="s">
        <v>118</v>
      </c>
      <c r="B20" s="37" t="s">
        <v>119</v>
      </c>
      <c r="C20" s="30">
        <f>ROUND('[1]3.CAGED'!C36/'[1]3.CAGED'!C33,4)</f>
        <v>8.3299999999999999E-2</v>
      </c>
      <c r="D20" s="31"/>
      <c r="F20" s="13"/>
      <c r="G20" s="13"/>
      <c r="H20" s="13"/>
      <c r="I20" s="13"/>
      <c r="J20" s="13"/>
      <c r="K20" s="13"/>
      <c r="L20" s="13"/>
    </row>
    <row r="21" spans="1:12" ht="14.25" x14ac:dyDescent="0.2">
      <c r="A21" s="26" t="s">
        <v>168</v>
      </c>
      <c r="B21" s="37" t="s">
        <v>121</v>
      </c>
      <c r="C21" s="30">
        <v>5.9999999999999995E-4</v>
      </c>
      <c r="D21" s="31"/>
      <c r="F21" s="13"/>
      <c r="G21" s="13"/>
      <c r="H21" s="13"/>
      <c r="I21" s="13"/>
      <c r="J21" s="13"/>
      <c r="K21" s="13"/>
      <c r="L21" s="13"/>
    </row>
    <row r="22" spans="1:12" ht="14.25" x14ac:dyDescent="0.2">
      <c r="A22" s="26" t="s">
        <v>120</v>
      </c>
      <c r="B22" s="37" t="s">
        <v>123</v>
      </c>
      <c r="C22" s="30">
        <v>8.2000000000000007E-3</v>
      </c>
      <c r="D22" s="38"/>
      <c r="F22" s="13"/>
      <c r="G22" s="13"/>
      <c r="H22" s="13"/>
      <c r="I22" s="13"/>
      <c r="J22" s="13"/>
      <c r="K22" s="13"/>
      <c r="L22" s="13"/>
    </row>
    <row r="23" spans="1:12" ht="14.25" x14ac:dyDescent="0.2">
      <c r="A23" s="26" t="s">
        <v>122</v>
      </c>
      <c r="B23" s="37" t="s">
        <v>125</v>
      </c>
      <c r="C23" s="30">
        <v>3.0999999999999999E-3</v>
      </c>
      <c r="D23" s="38"/>
      <c r="F23" s="13"/>
      <c r="G23" s="13"/>
      <c r="H23" s="13"/>
      <c r="I23" s="13"/>
      <c r="J23" s="13"/>
      <c r="K23" s="13"/>
      <c r="L23" s="13"/>
    </row>
    <row r="24" spans="1:12" ht="14.25" x14ac:dyDescent="0.2">
      <c r="A24" s="26" t="s">
        <v>124</v>
      </c>
      <c r="B24" s="37" t="s">
        <v>126</v>
      </c>
      <c r="C24" s="30">
        <v>1.66E-2</v>
      </c>
      <c r="D24" s="31"/>
      <c r="E24" s="39"/>
      <c r="F24" s="13"/>
      <c r="G24" s="13"/>
      <c r="H24" s="13"/>
      <c r="I24" s="13"/>
      <c r="J24" s="13"/>
      <c r="K24" s="13"/>
      <c r="L24" s="13"/>
    </row>
    <row r="25" spans="1:12" ht="15" x14ac:dyDescent="0.2">
      <c r="A25" s="26" t="s">
        <v>127</v>
      </c>
      <c r="B25" s="32" t="s">
        <v>128</v>
      </c>
      <c r="C25" s="33">
        <f>SUM(C19:C24)</f>
        <v>0.17749999999999999</v>
      </c>
      <c r="D25" s="31"/>
      <c r="F25" s="13"/>
      <c r="G25" s="13"/>
      <c r="H25" s="40"/>
      <c r="I25" s="13"/>
      <c r="J25" s="13"/>
      <c r="K25" s="13"/>
      <c r="L25" s="13"/>
    </row>
    <row r="26" spans="1:12" ht="15" x14ac:dyDescent="0.2">
      <c r="A26" s="34"/>
      <c r="B26" s="35"/>
      <c r="C26" s="36"/>
      <c r="D26" s="31"/>
      <c r="F26" s="13"/>
      <c r="G26" s="13"/>
      <c r="H26" s="13"/>
      <c r="I26" s="13"/>
      <c r="J26" s="13"/>
      <c r="K26" s="13"/>
      <c r="L26" s="13"/>
    </row>
    <row r="27" spans="1:12" ht="14.25" x14ac:dyDescent="0.2">
      <c r="A27" s="26" t="s">
        <v>129</v>
      </c>
      <c r="B27" s="27" t="s">
        <v>130</v>
      </c>
      <c r="C27" s="30">
        <f>ROUND(('[1]3.CAGED'!C37) *'[1]3.CAGED'!C30/'[1]3.CAGED'!C33,4)</f>
        <v>2.9000000000000001E-2</v>
      </c>
      <c r="D27" s="31"/>
      <c r="F27" s="13"/>
      <c r="G27" s="41"/>
      <c r="H27" s="13"/>
      <c r="I27" s="13"/>
      <c r="J27" s="13"/>
      <c r="K27" s="13"/>
      <c r="L27" s="13"/>
    </row>
    <row r="28" spans="1:12" ht="14.25" x14ac:dyDescent="0.2">
      <c r="A28" s="26" t="s">
        <v>167</v>
      </c>
      <c r="B28" s="27" t="s">
        <v>132</v>
      </c>
      <c r="C28" s="30">
        <f>ROUND(IF('[1]3.CAGED'!C32&gt;12,12/'[1]3.CAGED'!C32*0.1111,0.1111),4)</f>
        <v>4.5400000000000003E-2</v>
      </c>
      <c r="D28" s="31"/>
      <c r="F28" s="13"/>
      <c r="G28" s="13"/>
      <c r="H28" s="13"/>
      <c r="I28" s="13"/>
      <c r="J28" s="13"/>
      <c r="K28" s="13"/>
      <c r="L28" s="13"/>
    </row>
    <row r="29" spans="1:12" ht="14.25" x14ac:dyDescent="0.2">
      <c r="A29" s="26" t="s">
        <v>131</v>
      </c>
      <c r="B29" s="27" t="s">
        <v>134</v>
      </c>
      <c r="C29" s="30">
        <f>C27*C28</f>
        <v>1.3166000000000002E-3</v>
      </c>
      <c r="D29" s="38"/>
      <c r="F29" s="13"/>
      <c r="G29" s="13"/>
      <c r="H29" s="13"/>
      <c r="I29" s="13"/>
      <c r="J29" s="13"/>
      <c r="K29" s="13"/>
      <c r="L29" s="13"/>
    </row>
    <row r="30" spans="1:12" ht="14.25" x14ac:dyDescent="0.2">
      <c r="A30" s="26" t="s">
        <v>133</v>
      </c>
      <c r="B30" s="27" t="s">
        <v>136</v>
      </c>
      <c r="C30" s="30">
        <f>ROUND(('[1]3.CAGED'!C33+'[1]3.CAGED'!C34+'[1]3.CAGED'!C36)/'[1]3.CAGED'!C31*'[1]3.CAGED'!C38*'[1]3.CAGED'!C39*'[1]3.CAGED'!C30/'[1]3.CAGED'!C33,4)</f>
        <v>3.15E-2</v>
      </c>
      <c r="D30" s="38"/>
      <c r="F30" s="13"/>
      <c r="G30" s="13"/>
      <c r="H30" s="13"/>
      <c r="I30" s="13"/>
      <c r="J30" s="13"/>
      <c r="K30" s="13"/>
      <c r="L30" s="13"/>
    </row>
    <row r="31" spans="1:12" ht="14.25" x14ac:dyDescent="0.2">
      <c r="A31" s="26" t="s">
        <v>135</v>
      </c>
      <c r="B31" s="27" t="s">
        <v>137</v>
      </c>
      <c r="C31" s="30">
        <f>ROUND(('[1]3.CAGED'!C35/'[1]3.CAGED'!C33)*'[1]3.CAGED'!C30/12,4)</f>
        <v>2E-3</v>
      </c>
      <c r="D31" s="31"/>
      <c r="F31" s="13"/>
      <c r="G31" s="13"/>
      <c r="H31" s="13"/>
      <c r="I31" s="13"/>
      <c r="J31" s="13"/>
      <c r="K31" s="13"/>
      <c r="L31" s="13"/>
    </row>
    <row r="32" spans="1:12" ht="15" x14ac:dyDescent="0.2">
      <c r="A32" s="26" t="s">
        <v>138</v>
      </c>
      <c r="B32" s="32" t="s">
        <v>139</v>
      </c>
      <c r="C32" s="33">
        <f>SUM(C27:C31)</f>
        <v>0.10921660000000001</v>
      </c>
      <c r="D32" s="31"/>
      <c r="F32" s="13"/>
      <c r="G32" s="13"/>
      <c r="H32" s="13"/>
      <c r="I32" s="13"/>
      <c r="J32" s="13"/>
      <c r="K32" s="13"/>
      <c r="L32" s="13"/>
    </row>
    <row r="33" spans="1:12" ht="15" x14ac:dyDescent="0.2">
      <c r="A33" s="34"/>
      <c r="B33" s="35"/>
      <c r="C33" s="36"/>
      <c r="D33" s="43"/>
      <c r="F33" s="13"/>
      <c r="G33" s="13"/>
      <c r="H33" s="13"/>
      <c r="I33" s="13"/>
      <c r="J33" s="13"/>
      <c r="K33" s="13"/>
      <c r="L33" s="13"/>
    </row>
    <row r="34" spans="1:12" ht="14.25" x14ac:dyDescent="0.2">
      <c r="A34" s="26" t="s">
        <v>140</v>
      </c>
      <c r="B34" s="27" t="s">
        <v>141</v>
      </c>
      <c r="C34" s="30">
        <f>ROUND(C17*C25,4)</f>
        <v>6.5299999999999997E-2</v>
      </c>
      <c r="D34" s="43"/>
      <c r="F34" s="13"/>
      <c r="G34" s="13"/>
      <c r="H34" s="13"/>
      <c r="I34" s="13"/>
      <c r="J34" s="13"/>
      <c r="K34" s="13"/>
      <c r="L34" s="13"/>
    </row>
    <row r="35" spans="1:12" ht="28.5" x14ac:dyDescent="0.2">
      <c r="A35" s="26" t="s">
        <v>142</v>
      </c>
      <c r="B35" s="42" t="s">
        <v>246</v>
      </c>
      <c r="C35" s="30">
        <f>ROUND((C27*C16),4)</f>
        <v>2.3E-3</v>
      </c>
      <c r="D35" s="49"/>
      <c r="F35" s="13"/>
      <c r="G35" s="13"/>
      <c r="H35" s="13"/>
      <c r="I35" s="13"/>
      <c r="J35" s="13"/>
      <c r="K35" s="13"/>
      <c r="L35" s="13"/>
    </row>
    <row r="36" spans="1:12" ht="15" x14ac:dyDescent="0.2">
      <c r="A36" s="26" t="s">
        <v>143</v>
      </c>
      <c r="B36" s="32" t="s">
        <v>144</v>
      </c>
      <c r="C36" s="33">
        <f>SUM(C34:C35)</f>
        <v>6.7599999999999993E-2</v>
      </c>
      <c r="D36" s="51"/>
      <c r="F36" s="13"/>
      <c r="G36" s="13"/>
      <c r="H36" s="13"/>
      <c r="I36" s="13"/>
      <c r="J36" s="13"/>
      <c r="K36" s="13"/>
      <c r="L36" s="13"/>
    </row>
    <row r="37" spans="1:12" ht="15.75" thickBot="1" x14ac:dyDescent="0.25">
      <c r="A37" s="44"/>
      <c r="B37" s="45" t="s">
        <v>145</v>
      </c>
      <c r="C37" s="46">
        <f>C36+C32+C25+C17</f>
        <v>0.72231660000000009</v>
      </c>
      <c r="D37" s="29"/>
      <c r="F37" s="13"/>
      <c r="G37" s="13"/>
      <c r="H37" s="13"/>
      <c r="I37" s="13"/>
      <c r="J37" s="13"/>
      <c r="K37" s="13"/>
      <c r="L37" s="13"/>
    </row>
    <row r="38" spans="1:12" ht="15" x14ac:dyDescent="0.2">
      <c r="A38" s="31"/>
      <c r="B38" s="47"/>
      <c r="C38" s="48"/>
      <c r="D38" s="29"/>
      <c r="F38" s="13"/>
      <c r="G38" s="13"/>
      <c r="H38" s="13"/>
      <c r="I38" s="13"/>
      <c r="J38" s="13"/>
      <c r="K38" s="13"/>
      <c r="L38" s="13"/>
    </row>
    <row r="39" spans="1:12" ht="14.25" x14ac:dyDescent="0.2">
      <c r="A39" s="31"/>
      <c r="B39" s="31"/>
      <c r="C39" s="50"/>
      <c r="D39" s="29"/>
      <c r="F39" s="13"/>
      <c r="G39" s="13"/>
      <c r="H39" s="13"/>
      <c r="I39" s="13"/>
      <c r="J39" s="13"/>
      <c r="K39" s="13"/>
      <c r="L39" s="13"/>
    </row>
    <row r="40" spans="1:12" ht="14.25" x14ac:dyDescent="0.2">
      <c r="A40" s="29"/>
      <c r="B40" s="29"/>
      <c r="C40" s="52"/>
      <c r="D40" s="29"/>
      <c r="F40" s="13"/>
      <c r="G40" s="13"/>
      <c r="H40" s="13"/>
      <c r="I40" s="13"/>
      <c r="J40" s="13"/>
      <c r="K40" s="13"/>
      <c r="L40" s="13"/>
    </row>
    <row r="41" spans="1:12" ht="15" x14ac:dyDescent="0.2">
      <c r="A41" s="43"/>
      <c r="B41" s="53"/>
      <c r="C41" s="54"/>
      <c r="D41" s="43"/>
      <c r="E41" s="13"/>
      <c r="F41" s="13"/>
      <c r="G41" s="13"/>
      <c r="H41" s="13"/>
      <c r="I41" s="13"/>
      <c r="J41" s="13"/>
      <c r="K41" s="13"/>
      <c r="L41" s="13"/>
    </row>
    <row r="42" spans="1:12" ht="16.5" x14ac:dyDescent="0.2">
      <c r="A42" s="55"/>
      <c r="B42" s="13"/>
      <c r="C42" s="13"/>
      <c r="E42" s="13"/>
      <c r="F42" s="13"/>
      <c r="G42" s="13"/>
      <c r="H42" s="13"/>
      <c r="I42" s="13"/>
      <c r="J42" s="13"/>
      <c r="K42" s="13"/>
      <c r="L42" s="13"/>
    </row>
    <row r="43" spans="1:12" x14ac:dyDescent="0.2">
      <c r="A43" s="56"/>
      <c r="B43" s="57"/>
      <c r="C43" s="57"/>
      <c r="E43" s="13"/>
      <c r="F43" s="13"/>
      <c r="G43" s="13"/>
      <c r="H43" s="13"/>
      <c r="I43" s="13"/>
      <c r="J43" s="13"/>
      <c r="K43" s="13"/>
      <c r="L43" s="13"/>
    </row>
    <row r="44" spans="1:12" ht="14.25" x14ac:dyDescent="0.2">
      <c r="A44" s="29"/>
      <c r="B44" s="58"/>
      <c r="C44" s="57"/>
      <c r="E44" s="13"/>
      <c r="F44" s="13"/>
      <c r="G44" s="13"/>
      <c r="H44" s="13"/>
      <c r="I44" s="13"/>
      <c r="J44" s="13"/>
      <c r="K44" s="13"/>
      <c r="L44" s="13"/>
    </row>
    <row r="45" spans="1:12" ht="14.25" x14ac:dyDescent="0.2">
      <c r="A45" s="29"/>
      <c r="B45" s="58"/>
      <c r="C45" s="29"/>
      <c r="E45" s="13"/>
      <c r="F45" s="13"/>
      <c r="G45" s="13"/>
      <c r="H45" s="13"/>
      <c r="I45" s="13"/>
      <c r="J45" s="13"/>
      <c r="K45" s="13"/>
      <c r="L45" s="13"/>
    </row>
    <row r="46" spans="1:12" ht="14.25" x14ac:dyDescent="0.2">
      <c r="A46" s="29"/>
      <c r="B46" s="52"/>
      <c r="C46" s="57"/>
      <c r="E46" s="13"/>
      <c r="F46" s="13"/>
      <c r="G46" s="13"/>
      <c r="H46" s="13"/>
      <c r="I46" s="13"/>
      <c r="J46" s="13"/>
      <c r="K46" s="13"/>
      <c r="L46" s="13"/>
    </row>
    <row r="47" spans="1:12" ht="14.25" x14ac:dyDescent="0.2">
      <c r="A47" s="29"/>
      <c r="B47" s="58"/>
      <c r="C47" s="29"/>
      <c r="E47" s="13"/>
      <c r="F47" s="13"/>
      <c r="G47" s="13"/>
      <c r="H47" s="13"/>
      <c r="I47" s="13"/>
      <c r="J47" s="13"/>
      <c r="K47" s="13"/>
      <c r="L47" s="13"/>
    </row>
    <row r="48" spans="1:12" ht="14.25" x14ac:dyDescent="0.2">
      <c r="A48" s="29"/>
      <c r="B48" s="52"/>
      <c r="C48" s="57"/>
      <c r="E48" s="13"/>
      <c r="F48" s="13"/>
      <c r="G48" s="13"/>
      <c r="H48" s="13"/>
      <c r="I48" s="13"/>
      <c r="J48" s="13"/>
      <c r="K48" s="13"/>
      <c r="L48" s="13"/>
    </row>
    <row r="49" spans="1:12" ht="14.25" x14ac:dyDescent="0.2">
      <c r="A49" s="29"/>
      <c r="B49" s="58"/>
      <c r="C49" s="29"/>
      <c r="E49" s="13"/>
      <c r="F49" s="13"/>
      <c r="G49" s="13"/>
      <c r="H49" s="13"/>
      <c r="I49" s="13"/>
      <c r="J49" s="13"/>
      <c r="K49" s="13"/>
      <c r="L49" s="13"/>
    </row>
    <row r="50" spans="1:12" ht="14.25" x14ac:dyDescent="0.2">
      <c r="A50" s="29"/>
      <c r="B50" s="52"/>
      <c r="C50" s="57"/>
      <c r="E50" s="13"/>
      <c r="F50" s="13"/>
      <c r="G50" s="13"/>
      <c r="H50" s="13"/>
      <c r="I50" s="13"/>
      <c r="J50" s="13"/>
      <c r="K50" s="13"/>
      <c r="L50" s="13"/>
    </row>
    <row r="51" spans="1:12" ht="14.25" x14ac:dyDescent="0.2">
      <c r="A51" s="29"/>
      <c r="B51" s="58"/>
      <c r="C51" s="29"/>
      <c r="E51" s="13"/>
      <c r="F51" s="13"/>
      <c r="G51" s="13"/>
      <c r="H51" s="13"/>
      <c r="I51" s="13"/>
      <c r="J51" s="13"/>
      <c r="K51" s="13"/>
      <c r="L51" s="13"/>
    </row>
    <row r="52" spans="1:12" ht="14.25" x14ac:dyDescent="0.2">
      <c r="A52" s="29"/>
      <c r="B52" s="52"/>
      <c r="C52" s="57"/>
      <c r="E52" s="13"/>
      <c r="F52" s="13"/>
      <c r="G52" s="13"/>
      <c r="H52" s="13"/>
      <c r="I52" s="13"/>
      <c r="J52" s="13"/>
      <c r="K52" s="13"/>
      <c r="L52" s="13"/>
    </row>
    <row r="53" spans="1:12" ht="16.5" x14ac:dyDescent="0.2">
      <c r="A53" s="55"/>
      <c r="B53" s="13"/>
      <c r="C53" s="13"/>
      <c r="E53" s="13"/>
      <c r="F53" s="13"/>
      <c r="G53" s="13"/>
      <c r="H53" s="13"/>
      <c r="I53" s="13"/>
      <c r="J53" s="13"/>
      <c r="K53" s="13"/>
      <c r="L53" s="13"/>
    </row>
    <row r="54" spans="1:12" x14ac:dyDescent="0.2">
      <c r="A54" s="13"/>
      <c r="B54" s="13"/>
      <c r="C54" s="13"/>
      <c r="E54" s="13"/>
      <c r="F54" s="13"/>
      <c r="G54" s="13"/>
      <c r="H54" s="13"/>
      <c r="I54" s="13"/>
      <c r="J54" s="13"/>
      <c r="K54" s="13"/>
      <c r="L54" s="13"/>
    </row>
    <row r="55" spans="1:12" x14ac:dyDescent="0.2">
      <c r="A55" s="13"/>
      <c r="B55" s="13"/>
      <c r="C55" s="13"/>
      <c r="E55" s="13"/>
      <c r="F55" s="13"/>
      <c r="G55" s="13"/>
      <c r="H55" s="13"/>
      <c r="I55" s="13"/>
      <c r="J55" s="13"/>
      <c r="K55" s="13"/>
      <c r="L55" s="13"/>
    </row>
    <row r="56" spans="1:12" x14ac:dyDescent="0.2">
      <c r="A56" s="59"/>
      <c r="B56" s="13"/>
      <c r="C56" s="13"/>
      <c r="E56" s="13"/>
      <c r="F56" s="13"/>
      <c r="G56" s="13"/>
      <c r="H56" s="13"/>
      <c r="I56" s="13"/>
      <c r="J56" s="13"/>
      <c r="K56" s="13"/>
      <c r="L56" s="13"/>
    </row>
    <row r="57" spans="1:12" x14ac:dyDescent="0.2">
      <c r="A57" s="13"/>
      <c r="B57" s="13"/>
      <c r="C57" s="13"/>
      <c r="E57" s="13"/>
    </row>
    <row r="58" spans="1:12" x14ac:dyDescent="0.2">
      <c r="A58" s="13"/>
      <c r="B58" s="13"/>
      <c r="C58" s="13"/>
      <c r="E58" s="13"/>
    </row>
    <row r="59" spans="1:12" x14ac:dyDescent="0.2">
      <c r="A59" s="13"/>
      <c r="B59" s="13"/>
      <c r="C59" s="13"/>
      <c r="E59" s="13"/>
    </row>
    <row r="60" spans="1:12" x14ac:dyDescent="0.2">
      <c r="A60" s="13"/>
      <c r="B60" s="13"/>
      <c r="C60" s="13"/>
      <c r="E60" s="13"/>
    </row>
    <row r="61" spans="1:12" x14ac:dyDescent="0.2">
      <c r="A61" s="13"/>
      <c r="B61" s="13"/>
      <c r="C61" s="13"/>
      <c r="E61" s="13"/>
    </row>
    <row r="62" spans="1:12" x14ac:dyDescent="0.2">
      <c r="A62" s="13"/>
      <c r="B62" s="13"/>
      <c r="C62" s="13"/>
      <c r="E62" s="13"/>
    </row>
    <row r="63" spans="1:12" x14ac:dyDescent="0.2">
      <c r="A63" s="13"/>
      <c r="B63" s="13"/>
      <c r="C63" s="13"/>
      <c r="E63" s="13"/>
    </row>
    <row r="64" spans="1:12" x14ac:dyDescent="0.2">
      <c r="A64" s="13"/>
      <c r="B64" s="13"/>
      <c r="C64" s="13"/>
      <c r="E64" s="13"/>
    </row>
    <row r="65" spans="1:5" x14ac:dyDescent="0.2">
      <c r="A65" s="13"/>
      <c r="B65" s="13"/>
      <c r="C65" s="13"/>
      <c r="E65" s="13"/>
    </row>
  </sheetData>
  <mergeCells count="1">
    <mergeCell ref="A7:C7"/>
  </mergeCells>
  <pageMargins left="0.90551181102362199" right="0.51181102362204722" top="0.74803149606299213" bottom="0.74803149606299213" header="0.31496062992125984" footer="0.31496062992125984"/>
  <pageSetup paperSize="9" orientation="portrait" verticalDpi="597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4"/>
  <sheetViews>
    <sheetView topLeftCell="A19" zoomScaleNormal="100" workbookViewId="0">
      <selection activeCell="C1" sqref="A1:C1"/>
    </sheetView>
  </sheetViews>
  <sheetFormatPr defaultRowHeight="12.75" x14ac:dyDescent="0.2"/>
  <cols>
    <col min="1" max="1" width="8.5703125" style="1" customWidth="1"/>
    <col min="2" max="2" width="67.140625" style="1" customWidth="1"/>
    <col min="3" max="3" width="13.7109375" style="1" customWidth="1"/>
    <col min="4" max="4" width="10.28515625" style="1" hidden="1" customWidth="1"/>
    <col min="5" max="5" width="13.7109375" style="1" hidden="1" customWidth="1"/>
    <col min="6" max="6" width="14.42578125" style="1" hidden="1" customWidth="1"/>
    <col min="7" max="7" width="12.7109375" style="1" hidden="1" customWidth="1"/>
    <col min="8" max="8" width="4.42578125" style="1" hidden="1" customWidth="1"/>
    <col min="9" max="9" width="6.85546875" style="1" hidden="1" customWidth="1"/>
    <col min="10" max="10" width="3.28515625" style="1" hidden="1" customWidth="1"/>
    <col min="11" max="11" width="0" style="1" hidden="1" customWidth="1"/>
    <col min="12" max="16384" width="9.140625" style="1"/>
  </cols>
  <sheetData>
    <row r="1" spans="1:3" x14ac:dyDescent="0.2">
      <c r="A1" s="4" t="s">
        <v>182</v>
      </c>
    </row>
    <row r="3" spans="1:3" ht="13.5" thickBot="1" x14ac:dyDescent="0.25"/>
    <row r="4" spans="1:3" ht="18" x14ac:dyDescent="0.25">
      <c r="B4" s="310" t="s">
        <v>173</v>
      </c>
      <c r="C4" s="311"/>
    </row>
    <row r="5" spans="1:3" ht="15" x14ac:dyDescent="0.25">
      <c r="A5" s="13"/>
      <c r="B5" s="12" t="s">
        <v>158</v>
      </c>
      <c r="C5" s="60"/>
    </row>
    <row r="6" spans="1:3" ht="15" x14ac:dyDescent="0.25">
      <c r="A6" s="13"/>
      <c r="B6" s="14" t="s">
        <v>78</v>
      </c>
      <c r="C6" s="15">
        <v>2486</v>
      </c>
    </row>
    <row r="7" spans="1:3" ht="15" x14ac:dyDescent="0.25">
      <c r="A7" s="13"/>
      <c r="B7" s="16" t="s">
        <v>79</v>
      </c>
      <c r="C7" s="15">
        <v>3303</v>
      </c>
    </row>
    <row r="8" spans="1:3" ht="14.25" x14ac:dyDescent="0.2">
      <c r="A8" s="13"/>
      <c r="B8" s="61" t="s">
        <v>80</v>
      </c>
      <c r="C8" s="62">
        <v>81</v>
      </c>
    </row>
    <row r="9" spans="1:3" ht="14.25" x14ac:dyDescent="0.2">
      <c r="A9" s="13"/>
      <c r="B9" s="61" t="s">
        <v>81</v>
      </c>
      <c r="C9" s="62">
        <v>2336</v>
      </c>
    </row>
    <row r="10" spans="1:3" ht="14.25" x14ac:dyDescent="0.2">
      <c r="A10" s="13"/>
      <c r="B10" s="61" t="s">
        <v>82</v>
      </c>
      <c r="C10" s="62">
        <v>342</v>
      </c>
    </row>
    <row r="11" spans="1:3" ht="14.25" x14ac:dyDescent="0.2">
      <c r="A11" s="13"/>
      <c r="B11" s="61" t="s">
        <v>83</v>
      </c>
      <c r="C11" s="62">
        <v>18</v>
      </c>
    </row>
    <row r="12" spans="1:3" ht="14.25" x14ac:dyDescent="0.2">
      <c r="A12" s="13"/>
      <c r="B12" s="61" t="s">
        <v>84</v>
      </c>
      <c r="C12" s="62">
        <v>500</v>
      </c>
    </row>
    <row r="13" spans="1:3" ht="14.25" x14ac:dyDescent="0.2">
      <c r="A13" s="13"/>
      <c r="B13" s="61" t="s">
        <v>85</v>
      </c>
      <c r="C13" s="62">
        <v>1</v>
      </c>
    </row>
    <row r="14" spans="1:3" ht="14.25" x14ac:dyDescent="0.2">
      <c r="A14" s="13"/>
      <c r="B14" s="61" t="s">
        <v>86</v>
      </c>
      <c r="C14" s="62">
        <v>25</v>
      </c>
    </row>
    <row r="15" spans="1:3" ht="14.25" x14ac:dyDescent="0.2">
      <c r="A15" s="13"/>
      <c r="B15" s="63" t="s">
        <v>87</v>
      </c>
      <c r="C15" s="64">
        <v>0</v>
      </c>
    </row>
    <row r="16" spans="1:3" ht="15" x14ac:dyDescent="0.25">
      <c r="A16" s="13" t="s">
        <v>88</v>
      </c>
      <c r="B16" s="12" t="s">
        <v>89</v>
      </c>
      <c r="C16" s="60"/>
    </row>
    <row r="17" spans="1:11" ht="14.25" x14ac:dyDescent="0.2">
      <c r="A17" s="13"/>
      <c r="B17" s="65" t="s">
        <v>192</v>
      </c>
      <c r="C17" s="66">
        <v>6400</v>
      </c>
    </row>
    <row r="18" spans="1:11" ht="14.25" x14ac:dyDescent="0.2">
      <c r="A18" s="13"/>
      <c r="B18" s="61" t="s">
        <v>193</v>
      </c>
      <c r="C18" s="62">
        <v>5583</v>
      </c>
    </row>
    <row r="19" spans="1:11" ht="14.25" x14ac:dyDescent="0.2">
      <c r="B19" s="61" t="s">
        <v>194</v>
      </c>
      <c r="C19" s="62">
        <v>-817</v>
      </c>
    </row>
    <row r="20" spans="1:11" ht="14.25" x14ac:dyDescent="0.2">
      <c r="B20" s="67"/>
      <c r="C20" s="68"/>
    </row>
    <row r="21" spans="1:11" ht="15" x14ac:dyDescent="0.25">
      <c r="B21" s="17" t="s">
        <v>90</v>
      </c>
      <c r="C21" s="113">
        <f>MEDIAN(C6,C7)/MEDIAN(C17,C18)</f>
        <v>0.48310105983476592</v>
      </c>
      <c r="G21" s="1">
        <f>12/C21</f>
        <v>24.839523233719124</v>
      </c>
    </row>
    <row r="22" spans="1:11" ht="15" x14ac:dyDescent="0.25">
      <c r="B22" s="14" t="s">
        <v>91</v>
      </c>
      <c r="C22" s="113">
        <f>C9/MEDIAN(C17,C18)</f>
        <v>0.38988567136777103</v>
      </c>
    </row>
    <row r="23" spans="1:11" ht="15" x14ac:dyDescent="0.25">
      <c r="B23" s="19" t="s">
        <v>92</v>
      </c>
      <c r="C23" s="18">
        <v>360</v>
      </c>
    </row>
    <row r="24" spans="1:11" ht="15" x14ac:dyDescent="0.25">
      <c r="B24" s="14" t="s">
        <v>183</v>
      </c>
      <c r="C24" s="18">
        <v>10</v>
      </c>
    </row>
    <row r="25" spans="1:11" ht="15" x14ac:dyDescent="0.25">
      <c r="B25" s="14" t="s">
        <v>184</v>
      </c>
      <c r="C25" s="18">
        <v>30</v>
      </c>
      <c r="G25" s="1">
        <f>TRUNC(G30)</f>
        <v>0</v>
      </c>
    </row>
    <row r="26" spans="1:11" ht="15" x14ac:dyDescent="0.25">
      <c r="B26" s="14" t="s">
        <v>185</v>
      </c>
      <c r="C26" s="18">
        <v>30</v>
      </c>
    </row>
    <row r="27" spans="1:11" s="4" customFormat="1" ht="15" x14ac:dyDescent="0.25">
      <c r="B27" s="14" t="s">
        <v>93</v>
      </c>
      <c r="C27" s="69">
        <f>MEDIAN(C17,C18)</f>
        <v>5991.5</v>
      </c>
    </row>
    <row r="28" spans="1:11" s="4" customFormat="1" ht="15" x14ac:dyDescent="0.25">
      <c r="B28" s="14" t="s">
        <v>27</v>
      </c>
      <c r="C28" s="70">
        <v>0.08</v>
      </c>
      <c r="K28" s="4">
        <f>IF(C32&gt;12,C32-12,C32)</f>
        <v>12.839523233719124</v>
      </c>
    </row>
    <row r="29" spans="1:11" s="4" customFormat="1" ht="15" x14ac:dyDescent="0.25">
      <c r="B29" s="14" t="s">
        <v>94</v>
      </c>
      <c r="C29" s="70">
        <v>0.5</v>
      </c>
      <c r="K29" s="4" t="e">
        <f>IF(#REF!&gt;12,#REF!-12,#REF!)</f>
        <v>#REF!</v>
      </c>
    </row>
    <row r="30" spans="1:11" s="4" customFormat="1" ht="15" x14ac:dyDescent="0.25">
      <c r="B30" s="14" t="s">
        <v>95</v>
      </c>
      <c r="C30" s="114">
        <f>((1/C21)-TRUNC(E30))</f>
        <v>6.9960269476593506E-2</v>
      </c>
      <c r="D30" s="4">
        <f>TRUNC(E30)</f>
        <v>2</v>
      </c>
      <c r="E30" s="4">
        <f>1/C21</f>
        <v>2.0699602694765935</v>
      </c>
      <c r="F30" s="4">
        <f>((1/C21)-TRUNC(E30))</f>
        <v>6.9960269476593506E-2</v>
      </c>
      <c r="G30" s="4">
        <f>12*F30</f>
        <v>0.83952323371912208</v>
      </c>
      <c r="K30" s="4" t="e">
        <f>IF(#REF!&gt;12,#REF!-12,#REF!)</f>
        <v>#REF!</v>
      </c>
    </row>
    <row r="31" spans="1:11" s="4" customFormat="1" ht="15" x14ac:dyDescent="0.25">
      <c r="B31" s="12" t="s">
        <v>96</v>
      </c>
      <c r="C31" s="20">
        <f>30+D31</f>
        <v>36</v>
      </c>
      <c r="D31" s="4">
        <f>3*D30</f>
        <v>6</v>
      </c>
      <c r="G31" s="4">
        <f>G30/12*40/360</f>
        <v>7.7733632751770566E-3</v>
      </c>
      <c r="K31" s="4" t="e">
        <f>IF(#REF!&gt;12,#REF!-12,#REF!)</f>
        <v>#REF!</v>
      </c>
    </row>
    <row r="32" spans="1:11" s="4" customFormat="1" ht="15.75" thickBot="1" x14ac:dyDescent="0.3">
      <c r="B32" s="21" t="s">
        <v>187</v>
      </c>
      <c r="C32" s="115">
        <f>12/C21</f>
        <v>24.839523233719124</v>
      </c>
      <c r="K32" s="4" t="e">
        <f>IF(#REF!&gt;12,#REF!-12,#REF!)</f>
        <v>#REF!</v>
      </c>
    </row>
    <row r="33" spans="11:11" x14ac:dyDescent="0.2">
      <c r="K33" s="1" t="e">
        <f t="shared" ref="K33:K34" si="0">IF(K32&gt;12,K32-12,K32)</f>
        <v>#REF!</v>
      </c>
    </row>
    <row r="34" spans="11:11" x14ac:dyDescent="0.2">
      <c r="K34" s="1" t="e">
        <f t="shared" si="0"/>
        <v>#REF!</v>
      </c>
    </row>
  </sheetData>
  <mergeCells count="1">
    <mergeCell ref="B4:C4"/>
  </mergeCells>
  <pageMargins left="0.90551181102362199" right="0.51181102362204722" top="0.74803149606299213" bottom="0.74803149606299213" header="0.31496062992125984" footer="0.31496062992125984"/>
  <pageSetup paperSize="9" scale="98" orientation="portrait" verticalDpi="597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2"/>
  <sheetViews>
    <sheetView tabSelected="1" zoomScaleNormal="100" workbookViewId="0">
      <selection activeCell="C12" sqref="C10:C12"/>
    </sheetView>
  </sheetViews>
  <sheetFormatPr defaultRowHeight="12.75" x14ac:dyDescent="0.2"/>
  <cols>
    <col min="1" max="1" width="41.85546875" bestFit="1" customWidth="1"/>
    <col min="2" max="2" width="5.5703125" bestFit="1" customWidth="1"/>
    <col min="4" max="4" width="9.7109375" bestFit="1" customWidth="1"/>
    <col min="5" max="5" width="8" style="5" bestFit="1" customWidth="1"/>
    <col min="6" max="6" width="9.7109375" bestFit="1" customWidth="1"/>
  </cols>
  <sheetData>
    <row r="1" spans="1:8" s="9" customFormat="1" ht="14.25" x14ac:dyDescent="0.2">
      <c r="A1" s="3"/>
      <c r="B1" s="7"/>
      <c r="C1" s="7"/>
      <c r="E1" s="10"/>
    </row>
    <row r="2" spans="1:8" s="9" customFormat="1" ht="14.25" x14ac:dyDescent="0.2">
      <c r="A2" s="6"/>
      <c r="B2" s="7"/>
      <c r="C2" s="7"/>
      <c r="E2" s="10"/>
    </row>
    <row r="3" spans="1:8" s="9" customFormat="1" ht="14.25" x14ac:dyDescent="0.2">
      <c r="A3" s="2"/>
      <c r="B3" s="7"/>
      <c r="C3" s="7"/>
      <c r="E3" s="10"/>
    </row>
    <row r="4" spans="1:8" s="9" customFormat="1" ht="14.25" x14ac:dyDescent="0.2">
      <c r="A4" s="6"/>
      <c r="B4" s="7"/>
      <c r="C4" s="7"/>
      <c r="E4" s="10"/>
    </row>
    <row r="5" spans="1:8" s="9" customFormat="1" ht="15" thickBot="1" x14ac:dyDescent="0.25">
      <c r="B5" s="7"/>
      <c r="C5" s="7"/>
      <c r="E5" s="10"/>
    </row>
    <row r="6" spans="1:8" ht="15.75" x14ac:dyDescent="0.2">
      <c r="A6" s="317" t="s">
        <v>174</v>
      </c>
      <c r="B6" s="318"/>
      <c r="C6" s="318"/>
      <c r="D6" s="318"/>
      <c r="E6" s="318"/>
      <c r="F6" s="319"/>
    </row>
    <row r="7" spans="1:8" ht="16.5" thickBot="1" x14ac:dyDescent="0.25">
      <c r="A7" s="108"/>
      <c r="B7" s="109"/>
      <c r="C7" s="109"/>
      <c r="D7" s="109"/>
      <c r="E7" s="109"/>
      <c r="F7" s="110"/>
    </row>
    <row r="8" spans="1:8" ht="15" x14ac:dyDescent="0.25">
      <c r="A8" s="71"/>
      <c r="B8" s="8"/>
      <c r="C8" s="8"/>
      <c r="D8" s="314" t="s">
        <v>186</v>
      </c>
      <c r="E8" s="315"/>
      <c r="F8" s="316"/>
      <c r="G8" s="9"/>
      <c r="H8" s="9"/>
    </row>
    <row r="9" spans="1:8" ht="15" thickBot="1" x14ac:dyDescent="0.25">
      <c r="A9" s="67"/>
      <c r="B9" s="72"/>
      <c r="C9" s="72"/>
      <c r="D9" s="73" t="s">
        <v>146</v>
      </c>
      <c r="E9" s="74" t="s">
        <v>147</v>
      </c>
      <c r="F9" s="75" t="s">
        <v>148</v>
      </c>
      <c r="G9" s="9"/>
      <c r="H9" s="9"/>
    </row>
    <row r="10" spans="1:8" ht="14.25" x14ac:dyDescent="0.2">
      <c r="A10" s="76" t="s">
        <v>50</v>
      </c>
      <c r="B10" s="77" t="s">
        <v>51</v>
      </c>
      <c r="C10" s="78"/>
      <c r="D10" s="98">
        <v>2.9700000000000001E-2</v>
      </c>
      <c r="E10" s="99">
        <v>5.0799999999999998E-2</v>
      </c>
      <c r="F10" s="100">
        <v>6.2700000000000006E-2</v>
      </c>
      <c r="G10" s="9"/>
      <c r="H10" s="9"/>
    </row>
    <row r="11" spans="1:8" ht="14.25" x14ac:dyDescent="0.2">
      <c r="A11" s="80" t="s">
        <v>52</v>
      </c>
      <c r="B11" s="81" t="s">
        <v>53</v>
      </c>
      <c r="C11" s="82"/>
      <c r="D11" s="98">
        <f>0.3%+0.56%</f>
        <v>8.6E-3</v>
      </c>
      <c r="E11" s="99">
        <f>0.48%+0.85%</f>
        <v>1.3299999999999999E-2</v>
      </c>
      <c r="F11" s="100">
        <f>0.82%+0.89%</f>
        <v>1.7099999999999997E-2</v>
      </c>
      <c r="G11" s="9"/>
      <c r="H11" s="9"/>
    </row>
    <row r="12" spans="1:8" ht="14.25" x14ac:dyDescent="0.2">
      <c r="A12" s="80" t="s">
        <v>245</v>
      </c>
      <c r="B12" s="81" t="s">
        <v>243</v>
      </c>
      <c r="C12" s="82"/>
      <c r="D12" s="98">
        <v>7.7799999999999994E-2</v>
      </c>
      <c r="E12" s="99">
        <v>0.1085</v>
      </c>
      <c r="F12" s="100">
        <v>0.13550000000000001</v>
      </c>
      <c r="G12" s="9"/>
      <c r="H12" s="9"/>
    </row>
    <row r="13" spans="1:8" ht="14.25" x14ac:dyDescent="0.2">
      <c r="A13" s="80" t="s">
        <v>54</v>
      </c>
      <c r="B13" s="81" t="s">
        <v>55</v>
      </c>
      <c r="C13" s="281">
        <f>(1+E13)^(E14/252)-1</f>
        <v>0</v>
      </c>
      <c r="D13" s="98" t="s">
        <v>195</v>
      </c>
      <c r="E13" s="83"/>
      <c r="F13" s="79"/>
      <c r="G13" s="9"/>
      <c r="H13" s="9"/>
    </row>
    <row r="14" spans="1:8" ht="14.25" x14ac:dyDescent="0.2">
      <c r="A14" s="80" t="s">
        <v>56</v>
      </c>
      <c r="B14" s="312" t="s">
        <v>57</v>
      </c>
      <c r="C14" s="82"/>
      <c r="D14" s="116" t="s">
        <v>149</v>
      </c>
      <c r="E14" s="84">
        <v>12</v>
      </c>
      <c r="F14" s="85"/>
      <c r="G14" s="9"/>
      <c r="H14" s="9"/>
    </row>
    <row r="15" spans="1:8" ht="15" thickBot="1" x14ac:dyDescent="0.25">
      <c r="A15" s="86" t="s">
        <v>58</v>
      </c>
      <c r="B15" s="313"/>
      <c r="C15" s="87"/>
      <c r="D15" s="61"/>
      <c r="E15" s="88"/>
      <c r="F15" s="85"/>
      <c r="G15" s="9"/>
      <c r="H15" s="9"/>
    </row>
    <row r="16" spans="1:8" ht="14.25" x14ac:dyDescent="0.2">
      <c r="A16" s="89" t="s">
        <v>59</v>
      </c>
      <c r="B16" s="90"/>
      <c r="C16" s="91"/>
      <c r="D16" s="61"/>
      <c r="E16" s="88"/>
      <c r="F16" s="85"/>
      <c r="G16" s="9"/>
      <c r="H16" s="9"/>
    </row>
    <row r="17" spans="1:8" ht="15" thickBot="1" x14ac:dyDescent="0.25">
      <c r="A17" s="92" t="s">
        <v>60</v>
      </c>
      <c r="B17" s="93"/>
      <c r="C17" s="94"/>
      <c r="D17" s="61"/>
      <c r="E17" s="88"/>
      <c r="F17" s="85"/>
      <c r="G17" s="9"/>
      <c r="H17" s="9"/>
    </row>
    <row r="18" spans="1:8" ht="15.75" thickBot="1" x14ac:dyDescent="0.25">
      <c r="A18" s="95" t="s">
        <v>61</v>
      </c>
      <c r="B18" s="96"/>
      <c r="C18" s="97">
        <f>ROUND((((1+C10+C11)*(1+C12)*(1+C13))/(1-(C14+C15))-1),4)</f>
        <v>0</v>
      </c>
      <c r="D18" s="101">
        <v>0.21429999999999999</v>
      </c>
      <c r="E18" s="102">
        <v>0.2717</v>
      </c>
      <c r="F18" s="103">
        <v>0.3362</v>
      </c>
      <c r="G18" s="9"/>
      <c r="H18" s="9"/>
    </row>
    <row r="19" spans="1:8" ht="14.25" x14ac:dyDescent="0.2">
      <c r="A19" s="9"/>
      <c r="B19" s="9"/>
      <c r="C19" s="9"/>
      <c r="D19" s="9"/>
      <c r="E19" s="10"/>
      <c r="F19" s="9"/>
      <c r="G19" s="9"/>
      <c r="H19" s="9"/>
    </row>
    <row r="20" spans="1:8" ht="14.25" x14ac:dyDescent="0.2">
      <c r="A20" s="9"/>
      <c r="B20" s="9"/>
      <c r="C20" s="9"/>
      <c r="D20" s="9"/>
      <c r="E20" s="10"/>
      <c r="F20" s="9"/>
      <c r="G20" s="9"/>
      <c r="H20" s="9"/>
    </row>
    <row r="21" spans="1:8" ht="14.25" x14ac:dyDescent="0.2">
      <c r="A21" s="9"/>
      <c r="B21" s="9"/>
      <c r="C21" s="9"/>
      <c r="D21" s="9"/>
      <c r="E21" s="10"/>
      <c r="F21" s="9"/>
      <c r="G21" s="9"/>
      <c r="H21" s="9"/>
    </row>
    <row r="22" spans="1:8" ht="14.25" x14ac:dyDescent="0.2">
      <c r="A22" s="9"/>
      <c r="B22" s="9"/>
      <c r="C22" s="9"/>
      <c r="D22" s="9"/>
      <c r="E22" s="10"/>
      <c r="F22" s="9"/>
      <c r="G22" s="9"/>
      <c r="H22" s="9"/>
    </row>
  </sheetData>
  <mergeCells count="3">
    <mergeCell ref="B14:B15"/>
    <mergeCell ref="D8:F8"/>
    <mergeCell ref="A6:F6"/>
  </mergeCells>
  <pageMargins left="0.90551181102362199" right="0.51181102362204722" top="0.74803149606299213" bottom="0.74803149606299213" header="0.31496062992125984" footer="0.31496062992125984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sqref="A1:B1"/>
    </sheetView>
  </sheetViews>
  <sheetFormatPr defaultRowHeight="19.5" customHeight="1" x14ac:dyDescent="0.2"/>
  <cols>
    <col min="1" max="1" width="24.5703125" style="1" customWidth="1"/>
    <col min="2" max="2" width="20.85546875" style="1" customWidth="1"/>
    <col min="3" max="16384" width="9.140625" style="1"/>
  </cols>
  <sheetData>
    <row r="1" spans="1:2" ht="19.5" customHeight="1" thickBot="1" x14ac:dyDescent="0.25">
      <c r="A1" s="320" t="s">
        <v>176</v>
      </c>
      <c r="B1" s="321"/>
    </row>
    <row r="2" spans="1:2" s="4" customFormat="1" ht="19.5" customHeight="1" x14ac:dyDescent="0.2">
      <c r="A2" s="111" t="s">
        <v>159</v>
      </c>
      <c r="B2" s="112" t="s">
        <v>196</v>
      </c>
    </row>
    <row r="3" spans="1:2" ht="19.5" customHeight="1" x14ac:dyDescent="0.2">
      <c r="A3" s="23">
        <v>1</v>
      </c>
      <c r="B3" s="22">
        <v>33.629999999999995</v>
      </c>
    </row>
    <row r="4" spans="1:2" ht="19.5" customHeight="1" x14ac:dyDescent="0.2">
      <c r="A4" s="23">
        <v>2</v>
      </c>
      <c r="B4" s="22">
        <v>43.13</v>
      </c>
    </row>
    <row r="5" spans="1:2" ht="19.5" customHeight="1" x14ac:dyDescent="0.2">
      <c r="A5" s="23">
        <v>3</v>
      </c>
      <c r="B5" s="22">
        <v>48.68</v>
      </c>
    </row>
    <row r="6" spans="1:2" ht="19.5" customHeight="1" x14ac:dyDescent="0.2">
      <c r="A6" s="23">
        <v>4</v>
      </c>
      <c r="B6" s="22">
        <v>52.62</v>
      </c>
    </row>
    <row r="7" spans="1:2" ht="19.5" customHeight="1" x14ac:dyDescent="0.2">
      <c r="A7" s="23">
        <v>5</v>
      </c>
      <c r="B7" s="22">
        <v>55.679999999999993</v>
      </c>
    </row>
    <row r="8" spans="1:2" ht="19.5" customHeight="1" x14ac:dyDescent="0.2">
      <c r="A8" s="23">
        <v>6</v>
      </c>
      <c r="B8" s="22">
        <v>58.18</v>
      </c>
    </row>
    <row r="9" spans="1:2" ht="19.5" customHeight="1" x14ac:dyDescent="0.2">
      <c r="A9" s="23">
        <v>7</v>
      </c>
      <c r="B9" s="22">
        <v>60.29</v>
      </c>
    </row>
    <row r="10" spans="1:2" ht="19.5" customHeight="1" x14ac:dyDescent="0.2">
      <c r="A10" s="23">
        <v>8</v>
      </c>
      <c r="B10" s="22">
        <v>62.12</v>
      </c>
    </row>
    <row r="11" spans="1:2" ht="19.5" customHeight="1" x14ac:dyDescent="0.2">
      <c r="A11" s="23">
        <v>9</v>
      </c>
      <c r="B11" s="22">
        <v>63.73</v>
      </c>
    </row>
    <row r="12" spans="1:2" ht="19.5" customHeight="1" x14ac:dyDescent="0.2">
      <c r="A12" s="23">
        <v>10</v>
      </c>
      <c r="B12" s="22">
        <v>65.180000000000007</v>
      </c>
    </row>
    <row r="13" spans="1:2" ht="19.5" customHeight="1" x14ac:dyDescent="0.2">
      <c r="A13" s="23">
        <v>11</v>
      </c>
      <c r="B13" s="22">
        <v>66.47999999999999</v>
      </c>
    </row>
    <row r="14" spans="1:2" ht="19.5" customHeight="1" x14ac:dyDescent="0.2">
      <c r="A14" s="23">
        <v>12</v>
      </c>
      <c r="B14" s="22">
        <v>67.67</v>
      </c>
    </row>
    <row r="15" spans="1:2" ht="19.5" customHeight="1" x14ac:dyDescent="0.2">
      <c r="A15" s="23">
        <v>13</v>
      </c>
      <c r="B15" s="22">
        <v>68.77</v>
      </c>
    </row>
    <row r="16" spans="1:2" ht="19.5" customHeight="1" x14ac:dyDescent="0.2">
      <c r="A16" s="23">
        <v>14</v>
      </c>
      <c r="B16" s="22">
        <v>69.789999999999992</v>
      </c>
    </row>
    <row r="17" spans="1:2" ht="19.5" customHeight="1" thickBot="1" x14ac:dyDescent="0.25">
      <c r="A17" s="24">
        <v>15</v>
      </c>
      <c r="B17" s="25">
        <v>70.73</v>
      </c>
    </row>
  </sheetData>
  <mergeCells count="1">
    <mergeCell ref="A1:B1"/>
  </mergeCells>
  <pageMargins left="0.90551181102362199" right="0.51181102362204722" top="0.74803149606299213" bottom="0.74803149606299213" header="0.31496062992125984" footer="0.31496062992125984"/>
  <pageSetup paperSize="9" orientation="portrait" verticalDpi="597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topLeftCell="A19" workbookViewId="0"/>
  </sheetViews>
  <sheetFormatPr defaultRowHeight="12.75" x14ac:dyDescent="0.2"/>
  <cols>
    <col min="1" max="1" width="70.42578125" style="1" customWidth="1"/>
    <col min="2" max="3" width="9.140625" style="1"/>
    <col min="4" max="4" width="12.85546875" style="1" bestFit="1" customWidth="1"/>
    <col min="5" max="16384" width="9.140625" style="1"/>
  </cols>
  <sheetData>
    <row r="1" spans="1:1" ht="18" x14ac:dyDescent="0.25">
      <c r="A1" s="107" t="s">
        <v>180</v>
      </c>
    </row>
    <row r="2" spans="1:1" x14ac:dyDescent="0.2">
      <c r="A2" s="104"/>
    </row>
    <row r="3" spans="1:1" x14ac:dyDescent="0.2">
      <c r="A3" s="104" t="s">
        <v>188</v>
      </c>
    </row>
    <row r="4" spans="1:1" x14ac:dyDescent="0.2">
      <c r="A4" s="104"/>
    </row>
    <row r="5" spans="1:1" x14ac:dyDescent="0.2">
      <c r="A5" s="104"/>
    </row>
    <row r="6" spans="1:1" x14ac:dyDescent="0.2">
      <c r="A6" s="104"/>
    </row>
    <row r="7" spans="1:1" x14ac:dyDescent="0.2">
      <c r="A7" s="104"/>
    </row>
    <row r="8" spans="1:1" x14ac:dyDescent="0.2">
      <c r="A8" s="104"/>
    </row>
    <row r="9" spans="1:1" x14ac:dyDescent="0.2">
      <c r="A9" s="104"/>
    </row>
    <row r="10" spans="1:1" x14ac:dyDescent="0.2">
      <c r="A10" s="104"/>
    </row>
    <row r="11" spans="1:1" x14ac:dyDescent="0.2">
      <c r="A11" s="104"/>
    </row>
    <row r="12" spans="1:1" ht="19.5" x14ac:dyDescent="0.35">
      <c r="A12" s="105" t="s">
        <v>177</v>
      </c>
    </row>
    <row r="13" spans="1:1" ht="15" x14ac:dyDescent="0.2">
      <c r="A13" s="105" t="s">
        <v>70</v>
      </c>
    </row>
    <row r="14" spans="1:1" ht="15" x14ac:dyDescent="0.2">
      <c r="A14" s="105" t="s">
        <v>74</v>
      </c>
    </row>
    <row r="15" spans="1:1" ht="19.5" x14ac:dyDescent="0.35">
      <c r="A15" s="105" t="s">
        <v>178</v>
      </c>
    </row>
    <row r="16" spans="1:1" ht="19.5" x14ac:dyDescent="0.35">
      <c r="A16" s="105" t="s">
        <v>179</v>
      </c>
    </row>
    <row r="17" spans="1:1" ht="15.75" thickBot="1" x14ac:dyDescent="0.25">
      <c r="A17" s="106" t="s">
        <v>71</v>
      </c>
    </row>
  </sheetData>
  <pageMargins left="0.90551181102362199" right="0.51181102362204722" top="0.74803149606299213" bottom="0.74803149606299213" header="0.31496062992125984" footer="0.31496062992125984"/>
  <pageSetup paperSize="9" orientation="portrait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4</vt:i4>
      </vt:variant>
    </vt:vector>
  </HeadingPairs>
  <TitlesOfParts>
    <vt:vector size="10" baseType="lpstr">
      <vt:lpstr>1. Triagem e Transbordo</vt:lpstr>
      <vt:lpstr>2.Encargos Sociais</vt:lpstr>
      <vt:lpstr>3.CAGED</vt:lpstr>
      <vt:lpstr>4.BDI</vt:lpstr>
      <vt:lpstr>5. Depreciação</vt:lpstr>
      <vt:lpstr>6.Remuneração de capital</vt:lpstr>
      <vt:lpstr>AbaDeprec</vt:lpstr>
      <vt:lpstr>AbaRemun</vt:lpstr>
      <vt:lpstr>'1. Triagem e Transbordo'!Area_de_impressao</vt:lpstr>
      <vt:lpstr>'2.Encargos Sociais'!Area_de_impressao</vt:lpstr>
    </vt:vector>
  </TitlesOfParts>
  <Company>dmlu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de Custos Coleta e Transporte RSU</dc:title>
  <dc:creator>Flavia Burmeister Martins</dc:creator>
  <cp:lastModifiedBy>pmsap</cp:lastModifiedBy>
  <cp:lastPrinted>2019-09-06T12:35:37Z</cp:lastPrinted>
  <dcterms:created xsi:type="dcterms:W3CDTF">2000-12-13T10:02:50Z</dcterms:created>
  <dcterms:modified xsi:type="dcterms:W3CDTF">2019-09-06T19:29:32Z</dcterms:modified>
</cp:coreProperties>
</file>