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15" yWindow="0" windowWidth="11910" windowHeight="9255" tabRatio="802" activeTab="3"/>
  </bookViews>
  <sheets>
    <sheet name="1. Triagem e Transbordo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</sheets>
  <definedNames>
    <definedName name="AbaDeprec">'5. Depreciação'!$A$1</definedName>
    <definedName name="AbaRemun">'6.Remuneração de capital'!$A$1</definedName>
    <definedName name="_xlnm.Print_Area" localSheetId="0">'1. Triagem e Transbordo'!$A$1:$F$372</definedName>
    <definedName name="_xlnm.Print_Area" localSheetId="1">'2.Encargos Sociais'!$A$1:$C$36</definedName>
    <definedName name="_xlnm.Print_Titles" localSheetId="0">'1. Triagem e Transbordo'!#REF!</definedName>
  </definedNames>
  <calcPr calcId="144525"/>
</workbook>
</file>

<file path=xl/calcChain.xml><?xml version="1.0" encoding="utf-8"?>
<calcChain xmlns="http://schemas.openxmlformats.org/spreadsheetml/2006/main">
  <c r="F335" i="2" l="1"/>
  <c r="E322" i="2" l="1"/>
  <c r="C321" i="2"/>
  <c r="D316" i="2"/>
  <c r="E316" i="2" s="1"/>
  <c r="E312" i="2"/>
  <c r="C310" i="2"/>
  <c r="E306" i="2"/>
  <c r="C318" i="2" s="1"/>
  <c r="E138" i="2"/>
  <c r="E139" i="2"/>
  <c r="E140" i="2"/>
  <c r="E141" i="2"/>
  <c r="E142" i="2"/>
  <c r="E143" i="2"/>
  <c r="E144" i="2"/>
  <c r="E146" i="2"/>
  <c r="D151" i="2"/>
  <c r="E151" i="2" s="1"/>
  <c r="D152" i="2"/>
  <c r="E152" i="2" s="1"/>
  <c r="D153" i="2"/>
  <c r="E153" i="2" s="1"/>
  <c r="E154" i="2"/>
  <c r="E155" i="2"/>
  <c r="D156" i="2"/>
  <c r="E156" i="2" s="1"/>
  <c r="D157" i="2"/>
  <c r="E157" i="2" s="1"/>
  <c r="D158" i="2"/>
  <c r="E158" i="2" s="1"/>
  <c r="E330" i="2"/>
  <c r="E331" i="2"/>
  <c r="E332" i="2"/>
  <c r="E333" i="2"/>
  <c r="E334" i="2"/>
  <c r="C342" i="2"/>
  <c r="E342" i="2" s="1"/>
  <c r="D309" i="2" l="1"/>
  <c r="E309" i="2" s="1"/>
  <c r="D310" i="2" s="1"/>
  <c r="E310" i="2" s="1"/>
  <c r="D311" i="2" s="1"/>
  <c r="E311" i="2" s="1"/>
  <c r="F312" i="2" s="1"/>
  <c r="F337" i="2"/>
  <c r="C319" i="2" l="1"/>
  <c r="D320" i="2" s="1"/>
  <c r="E320" i="2" s="1"/>
  <c r="D321" i="2" s="1"/>
  <c r="E321" i="2" s="1"/>
  <c r="F322" i="2" s="1"/>
  <c r="A30" i="2"/>
  <c r="A29" i="2"/>
  <c r="A28" i="2"/>
  <c r="A27" i="2"/>
  <c r="A26" i="2"/>
  <c r="A25" i="2"/>
  <c r="A24" i="2"/>
  <c r="A17" i="2"/>
  <c r="D285" i="2" l="1"/>
  <c r="D283" i="2"/>
  <c r="D281" i="2"/>
  <c r="D279" i="2"/>
  <c r="D277" i="2"/>
  <c r="D286" i="2" l="1"/>
  <c r="D223" i="2" l="1"/>
  <c r="D221" i="2"/>
  <c r="D219" i="2"/>
  <c r="D217" i="2"/>
  <c r="A48" i="2" l="1"/>
  <c r="A34" i="2" l="1"/>
  <c r="D255" i="2" l="1"/>
  <c r="E364" i="2" l="1"/>
  <c r="E363" i="2"/>
  <c r="E269" i="2"/>
  <c r="F269" i="2" s="1"/>
  <c r="E27" i="2" s="1"/>
  <c r="C281" i="2"/>
  <c r="E281" i="2" s="1"/>
  <c r="C299" i="2"/>
  <c r="E297" i="2"/>
  <c r="C277" i="2"/>
  <c r="C291" i="2" s="1"/>
  <c r="F365" i="2" l="1"/>
  <c r="E34" i="2" s="1"/>
  <c r="E277" i="2"/>
  <c r="E296" i="2"/>
  <c r="D298" i="2" s="1"/>
  <c r="C267" i="2"/>
  <c r="C266" i="2"/>
  <c r="C265" i="2"/>
  <c r="E261" i="2"/>
  <c r="C260" i="2"/>
  <c r="E255" i="2"/>
  <c r="E251" i="2"/>
  <c r="C249" i="2"/>
  <c r="E245" i="2"/>
  <c r="D343" i="2"/>
  <c r="E343" i="2" s="1"/>
  <c r="E346" i="2"/>
  <c r="D248" i="2" l="1"/>
  <c r="E248" i="2" s="1"/>
  <c r="D249" i="2" s="1"/>
  <c r="E249" i="2" s="1"/>
  <c r="C285" i="2"/>
  <c r="E285" i="2" s="1"/>
  <c r="E298" i="2"/>
  <c r="C279" i="2"/>
  <c r="E279" i="2" s="1"/>
  <c r="C283" i="2"/>
  <c r="E283" i="2" s="1"/>
  <c r="E291" i="2"/>
  <c r="F292" i="2" s="1"/>
  <c r="E29" i="2" s="1"/>
  <c r="C257" i="2"/>
  <c r="C344" i="2"/>
  <c r="E344" i="2" s="1"/>
  <c r="D345" i="2" s="1"/>
  <c r="E345" i="2" s="1"/>
  <c r="F346" i="2" s="1"/>
  <c r="F348" i="2" s="1"/>
  <c r="F287" i="2" l="1"/>
  <c r="E28" i="2" s="1"/>
  <c r="D299" i="2"/>
  <c r="E299" i="2" s="1"/>
  <c r="F300" i="2" s="1"/>
  <c r="E30" i="2" s="1"/>
  <c r="D250" i="2"/>
  <c r="E250" i="2" s="1"/>
  <c r="F251" i="2" s="1"/>
  <c r="E25" i="2" s="1"/>
  <c r="C258" i="2"/>
  <c r="D259" i="2" s="1"/>
  <c r="E259" i="2" s="1"/>
  <c r="D260" i="2" s="1"/>
  <c r="E134" i="2"/>
  <c r="A13" i="2"/>
  <c r="A12" i="2"/>
  <c r="C106" i="2"/>
  <c r="C105" i="2"/>
  <c r="C104" i="2"/>
  <c r="C103" i="2"/>
  <c r="A103" i="2"/>
  <c r="E260" i="2" l="1"/>
  <c r="F261" i="2" s="1"/>
  <c r="E26" i="2" s="1"/>
  <c r="E24" i="2" s="1"/>
  <c r="E43" i="2" l="1"/>
  <c r="A112" i="2"/>
  <c r="A113" i="2"/>
  <c r="A114" i="2"/>
  <c r="A111" i="2"/>
  <c r="D92" i="2"/>
  <c r="E97" i="2"/>
  <c r="C94" i="2"/>
  <c r="E91" i="2"/>
  <c r="E75" i="2"/>
  <c r="C72" i="2"/>
  <c r="E67" i="2"/>
  <c r="D70" i="2" s="1"/>
  <c r="E70" i="2" s="1"/>
  <c r="A105" i="2" l="1"/>
  <c r="A121" i="2"/>
  <c r="A120" i="2"/>
  <c r="A104" i="2"/>
  <c r="A106" i="2"/>
  <c r="A122" i="2"/>
  <c r="C114" i="2"/>
  <c r="E114" i="2" s="1"/>
  <c r="C122" i="2"/>
  <c r="E92" i="2"/>
  <c r="E93" i="2" s="1"/>
  <c r="D106" i="2" s="1"/>
  <c r="E106" i="2" s="1"/>
  <c r="E71" i="2"/>
  <c r="D104" i="2" s="1"/>
  <c r="E104" i="2" s="1"/>
  <c r="C204" i="2"/>
  <c r="C203" i="2"/>
  <c r="C205" i="2"/>
  <c r="D94" i="2" l="1"/>
  <c r="E94" i="2" s="1"/>
  <c r="E95" i="2" s="1"/>
  <c r="D96" i="2" s="1"/>
  <c r="E96" i="2" s="1"/>
  <c r="F97" i="2" s="1"/>
  <c r="E11" i="2" s="1"/>
  <c r="D72" i="2"/>
  <c r="E72" i="2" s="1"/>
  <c r="E73" i="2" s="1"/>
  <c r="D74" i="2" s="1"/>
  <c r="E74" i="2" s="1"/>
  <c r="F75" i="2" s="1"/>
  <c r="A33" i="2"/>
  <c r="A32" i="2"/>
  <c r="A31" i="2"/>
  <c r="A16" i="2"/>
  <c r="A15" i="2"/>
  <c r="A7" i="2"/>
  <c r="C174" i="2" l="1"/>
  <c r="C179" i="2"/>
  <c r="E42" i="2" l="1"/>
  <c r="E41" i="2"/>
  <c r="E40" i="2"/>
  <c r="E47" i="2"/>
  <c r="E49" i="2" s="1"/>
  <c r="C160" i="2" l="1"/>
  <c r="C145" i="2"/>
  <c r="E44" i="2"/>
  <c r="C119" i="2"/>
  <c r="C111" i="2"/>
  <c r="E111" i="2" s="1"/>
  <c r="C120" i="2"/>
  <c r="E120" i="2" s="1"/>
  <c r="C112" i="2"/>
  <c r="E112" i="2" s="1"/>
  <c r="C113" i="2"/>
  <c r="E113" i="2" s="1"/>
  <c r="C121" i="2"/>
  <c r="E121" i="2" s="1"/>
  <c r="C198" i="2"/>
  <c r="C193" i="2"/>
  <c r="E133" i="2" l="1"/>
  <c r="E135" i="2"/>
  <c r="E136" i="2"/>
  <c r="E137" i="2"/>
  <c r="E132" i="2"/>
  <c r="D145" i="2" s="1"/>
  <c r="E145" i="2" s="1"/>
  <c r="F146" i="2" s="1"/>
  <c r="C238" i="2" l="1"/>
  <c r="A23" i="2"/>
  <c r="A22" i="2"/>
  <c r="A21" i="2"/>
  <c r="A20" i="2"/>
  <c r="A19" i="2"/>
  <c r="A18" i="2"/>
  <c r="A14" i="2"/>
  <c r="A11" i="2"/>
  <c r="A10" i="2"/>
  <c r="A9" i="2"/>
  <c r="A8" i="2"/>
  <c r="C17" i="8"/>
  <c r="E207" i="2"/>
  <c r="E199" i="2"/>
  <c r="E183" i="2"/>
  <c r="E161" i="2"/>
  <c r="E123" i="2"/>
  <c r="E87" i="2"/>
  <c r="E63" i="2"/>
  <c r="D187" i="2"/>
  <c r="C13" i="4"/>
  <c r="C18" i="4" s="1"/>
  <c r="C355" i="2" s="1"/>
  <c r="F11" i="4"/>
  <c r="E11" i="4"/>
  <c r="D11" i="4"/>
  <c r="C14" i="8"/>
  <c r="C34" i="5"/>
  <c r="C29" i="5"/>
  <c r="C28" i="8" s="1"/>
  <c r="C28" i="5"/>
  <c r="E79" i="2"/>
  <c r="D82" i="2" s="1"/>
  <c r="E82" i="2" s="1"/>
  <c r="C236" i="2"/>
  <c r="E236" i="2" s="1"/>
  <c r="C215" i="2"/>
  <c r="C217" i="2" s="1"/>
  <c r="E217" i="2" s="1"/>
  <c r="D215" i="2"/>
  <c r="D224" i="2" s="1"/>
  <c r="E171" i="2"/>
  <c r="D192" i="2"/>
  <c r="C180" i="2"/>
  <c r="C175" i="2"/>
  <c r="C192" i="2"/>
  <c r="A40" i="2"/>
  <c r="A41" i="2"/>
  <c r="A42" i="2"/>
  <c r="A43" i="2"/>
  <c r="A47" i="2"/>
  <c r="E57" i="2"/>
  <c r="A119" i="2"/>
  <c r="E159" i="2"/>
  <c r="D160" i="2" s="1"/>
  <c r="E160" i="2" s="1"/>
  <c r="E234" i="2"/>
  <c r="E205" i="2"/>
  <c r="E204" i="2"/>
  <c r="F161" i="2" l="1"/>
  <c r="D237" i="2"/>
  <c r="E237" i="2" s="1"/>
  <c r="D238" i="2" s="1"/>
  <c r="E238" i="2" s="1"/>
  <c r="F239" i="2" s="1"/>
  <c r="E23" i="2" s="1"/>
  <c r="D174" i="2"/>
  <c r="E174" i="2" s="1"/>
  <c r="D203" i="2"/>
  <c r="C27" i="8"/>
  <c r="G28" i="5"/>
  <c r="C39" i="5"/>
  <c r="E37" i="5"/>
  <c r="D37" i="5" s="1"/>
  <c r="D38" i="5" s="1"/>
  <c r="C38" i="5" s="1"/>
  <c r="C24" i="8" s="1"/>
  <c r="C32" i="8" s="1"/>
  <c r="C221" i="2"/>
  <c r="E221" i="2" s="1"/>
  <c r="C223" i="2"/>
  <c r="E223" i="2" s="1"/>
  <c r="E31" i="2"/>
  <c r="E215" i="2"/>
  <c r="E176" i="2"/>
  <c r="C194" i="2" s="1"/>
  <c r="E192" i="2"/>
  <c r="D58" i="2"/>
  <c r="E58" i="2" s="1"/>
  <c r="E59" i="2" s="1"/>
  <c r="E219" i="2"/>
  <c r="C229" i="2"/>
  <c r="E229" i="2" s="1"/>
  <c r="F230" i="2" s="1"/>
  <c r="E22" i="2" s="1"/>
  <c r="E32" i="2"/>
  <c r="E187" i="2"/>
  <c r="E83" i="2"/>
  <c r="D105" i="2" l="1"/>
  <c r="E105" i="2" s="1"/>
  <c r="D60" i="2"/>
  <c r="D103" i="2"/>
  <c r="E103" i="2" s="1"/>
  <c r="D175" i="2"/>
  <c r="E175" i="2" s="1"/>
  <c r="E203" i="2"/>
  <c r="D206" i="2" s="1"/>
  <c r="E206" i="2" s="1"/>
  <c r="F207" i="2" s="1"/>
  <c r="E20" i="2" s="1"/>
  <c r="C189" i="2"/>
  <c r="C190" i="2" s="1"/>
  <c r="D191" i="2" s="1"/>
  <c r="E191" i="2" s="1"/>
  <c r="C26" i="8"/>
  <c r="C25" i="8"/>
  <c r="K35" i="5"/>
  <c r="K36" i="5" s="1"/>
  <c r="K37" i="5" s="1"/>
  <c r="K38" i="5" s="1"/>
  <c r="K39" i="5" s="1"/>
  <c r="K40" i="5" s="1"/>
  <c r="K41" i="5" s="1"/>
  <c r="C16" i="8"/>
  <c r="C22" i="8" s="1"/>
  <c r="C31" i="8" s="1"/>
  <c r="C33" i="8" s="1"/>
  <c r="F37" i="5"/>
  <c r="G37" i="5" s="1"/>
  <c r="C37" i="5"/>
  <c r="F115" i="2"/>
  <c r="E13" i="2" s="1"/>
  <c r="F123" i="2"/>
  <c r="D179" i="2"/>
  <c r="E179" i="2" s="1"/>
  <c r="D180" i="2" s="1"/>
  <c r="E180" i="2" s="1"/>
  <c r="F225" i="2"/>
  <c r="E21" i="2" s="1"/>
  <c r="D84" i="2"/>
  <c r="F107" i="2" l="1"/>
  <c r="E14" i="2"/>
  <c r="C29" i="8"/>
  <c r="C34" i="8" s="1"/>
  <c r="G38" i="5"/>
  <c r="G32" i="5"/>
  <c r="E181" i="2"/>
  <c r="C195" i="2"/>
  <c r="D196" i="2" s="1"/>
  <c r="E196" i="2" s="1"/>
  <c r="E197" i="2" s="1"/>
  <c r="D198" i="2" s="1"/>
  <c r="E198" i="2" s="1"/>
  <c r="F199" i="2" s="1"/>
  <c r="F163" i="2"/>
  <c r="E15" i="2" s="1"/>
  <c r="D182" i="2" l="1"/>
  <c r="E182" i="2" s="1"/>
  <c r="F183" i="2" s="1"/>
  <c r="F324" i="2" s="1"/>
  <c r="C84" i="2"/>
  <c r="C60" i="2"/>
  <c r="E60" i="2" s="1"/>
  <c r="E19" i="2"/>
  <c r="E16" i="2" l="1"/>
  <c r="E18" i="2"/>
  <c r="E17" i="2" s="1"/>
  <c r="E61" i="2"/>
  <c r="D62" i="2" s="1"/>
  <c r="E62" i="2" s="1"/>
  <c r="F63" i="2" s="1"/>
  <c r="E8" i="2" s="1"/>
  <c r="E9" i="2"/>
  <c r="E84" i="2"/>
  <c r="E85" i="2" s="1"/>
  <c r="D86" i="2" s="1"/>
  <c r="E86" i="2" s="1"/>
  <c r="F87" i="2" s="1"/>
  <c r="E10" i="2" l="1"/>
  <c r="F125" i="2"/>
  <c r="F350" i="2" s="1"/>
  <c r="E12" i="2"/>
  <c r="E7" i="2" l="1"/>
  <c r="D355" i="2" l="1"/>
  <c r="E355" i="2" s="1"/>
  <c r="F356" i="2" s="1"/>
  <c r="F358" i="2" s="1"/>
  <c r="E33" i="2" l="1"/>
  <c r="E35" i="2" s="1"/>
  <c r="F367" i="2"/>
  <c r="F369" i="2" s="1"/>
  <c r="F24" i="2" l="1"/>
  <c r="F28" i="2"/>
  <c r="F25" i="2"/>
  <c r="F29" i="2"/>
  <c r="F26" i="2"/>
  <c r="F30" i="2"/>
  <c r="F27" i="2"/>
  <c r="F23" i="2"/>
  <c r="F20" i="2"/>
  <c r="F13" i="2"/>
  <c r="F16" i="2"/>
  <c r="F11" i="2"/>
  <c r="F17" i="2"/>
  <c r="F15" i="2"/>
  <c r="F21" i="2"/>
  <c r="F10" i="2"/>
  <c r="F9" i="2"/>
  <c r="F7" i="2"/>
  <c r="F31" i="2"/>
  <c r="F19" i="2"/>
  <c r="F22" i="2"/>
  <c r="F14" i="2"/>
  <c r="F32" i="2"/>
  <c r="F34" i="2"/>
  <c r="F12" i="2"/>
  <c r="F18" i="2"/>
  <c r="F8" i="2"/>
  <c r="F33" i="2"/>
  <c r="F35" i="2" l="1"/>
</calcChain>
</file>

<file path=xl/comments1.xml><?xml version="1.0" encoding="utf-8"?>
<comments xmlns="http://schemas.openxmlformats.org/spreadsheetml/2006/main">
  <authors>
    <author>Clauber Bridi</author>
  </authors>
  <commentList>
    <comment ref="A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7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68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69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70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72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9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0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1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03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1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19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3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71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2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3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4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6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77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7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05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11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4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4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16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16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18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18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20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20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2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2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4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4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35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36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37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D245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24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24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0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56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6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67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73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76" authorId="0">
      <text>
        <r>
          <rPr>
            <sz val="9"/>
            <color indexed="81"/>
            <rFont val="Tahoma"/>
            <family val="2"/>
          </rPr>
          <t>Informar o consumo estimado do veículo em L/h</t>
        </r>
      </text>
    </comment>
    <comment ref="D276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78" authorId="0">
      <text>
        <r>
          <rPr>
            <sz val="9"/>
            <color indexed="81"/>
            <rFont val="Tahoma"/>
            <family val="2"/>
          </rPr>
          <t xml:space="preserve">Informar o consumo de óleo do motor a cada 100h
</t>
        </r>
      </text>
    </comment>
    <comment ref="D278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80" authorId="0">
      <text>
        <r>
          <rPr>
            <sz val="9"/>
            <color indexed="81"/>
            <rFont val="Tahoma"/>
            <family val="2"/>
          </rPr>
          <t>Informar o consumo de óleo da transmissão a cada 100h</t>
        </r>
      </text>
    </comment>
    <comment ref="D28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82" authorId="0">
      <text>
        <r>
          <rPr>
            <sz val="9"/>
            <color indexed="81"/>
            <rFont val="Tahoma"/>
            <family val="2"/>
          </rPr>
          <t>Informar o consumo de óleo hidráulico a cada 100h</t>
        </r>
      </text>
    </comment>
    <comment ref="D282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84" authorId="0">
      <text>
        <r>
          <rPr>
            <sz val="9"/>
            <color indexed="81"/>
            <rFont val="Tahoma"/>
            <family val="2"/>
          </rPr>
          <t>Informar o consumo de graxa a cada 100h</t>
        </r>
      </text>
    </comment>
    <comment ref="D284" authorId="0">
      <text>
        <r>
          <rPr>
            <sz val="9"/>
            <color indexed="81"/>
            <rFont val="Tahoma"/>
            <family val="2"/>
          </rPr>
          <t xml:space="preserve">Informar o preço unitário do quilograma da graxa
</t>
        </r>
      </text>
    </comment>
    <comment ref="D291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96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96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97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C29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D306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307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308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309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1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317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0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330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31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331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32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33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34" authorId="0">
      <text>
        <r>
          <rPr>
            <sz val="9"/>
            <color indexed="81"/>
            <rFont val="Tahoma"/>
            <family val="2"/>
          </rPr>
          <t xml:space="preserve">Informar a quantidade estimada por ano. </t>
        </r>
      </text>
    </comment>
    <comment ref="D33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339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2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</t>
        </r>
      </text>
    </comment>
    <comment ref="D344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55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C364" authorId="0">
      <text>
        <r>
          <rPr>
            <sz val="9"/>
            <color indexed="81"/>
            <rFont val="Tahoma"/>
            <family val="2"/>
          </rPr>
          <t>Informar a quantidade média detinada ao aterro sanitário nos últimos 12 meses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7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<sst xmlns="http://schemas.openxmlformats.org/spreadsheetml/2006/main" count="693" uniqueCount="321">
  <si>
    <t>Adicional de Insalubridade</t>
  </si>
  <si>
    <t>%</t>
  </si>
  <si>
    <t>Soma</t>
  </si>
  <si>
    <t>Encargos Sociais</t>
  </si>
  <si>
    <t>Total do Efetivo</t>
  </si>
  <si>
    <t>homem</t>
  </si>
  <si>
    <t>mês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</si>
  <si>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</si>
  <si>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</si>
  <si>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</si>
  <si>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</si>
  <si>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</si>
  <si>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</si>
  <si>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</si>
  <si>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</si>
  <si>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Custo mensal com óleo do motor</t>
  </si>
  <si>
    <t>Custo mensal com óleo da transmissão</t>
  </si>
  <si>
    <t>Custo mensal com óleo hidráulico</t>
  </si>
  <si>
    <t>Custo mensal com graxa</t>
  </si>
  <si>
    <t>km/jogo</t>
  </si>
  <si>
    <t>Pá de Concha</t>
  </si>
  <si>
    <t>Vassoura</t>
  </si>
  <si>
    <t>Calça</t>
  </si>
  <si>
    <t>Camiseta</t>
  </si>
  <si>
    <t>Luva de proteção</t>
  </si>
  <si>
    <t>R$/tonelada</t>
  </si>
  <si>
    <t>R$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</si>
  <si>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</si>
  <si>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</si>
  <si>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</si>
  <si>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</si>
  <si>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</si>
  <si>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</si>
  <si>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</si>
  <si>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</si>
  <si>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</si>
  <si>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3.1.1. Depreciação</t>
  </si>
  <si>
    <t>1. Mão-de-obra</t>
  </si>
  <si>
    <t>par</t>
  </si>
  <si>
    <t>frasco 120g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</si>
  <si>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</si>
  <si>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</si>
  <si>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</si>
  <si>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</si>
  <si>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</si>
  <si>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</si>
  <si>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</si>
  <si>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</si>
  <si>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</si>
  <si>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</si>
  <si>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</si>
  <si>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</si>
  <si>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</si>
  <si>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</si>
  <si>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</si>
  <si>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</si>
  <si>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Custo de recapagem</t>
  </si>
  <si>
    <t>Recipiente térmico para água (5L)</t>
  </si>
  <si>
    <t>Total por 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</si>
  <si>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</si>
  <si>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</si>
  <si>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</si>
  <si>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</si>
  <si>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</si>
  <si>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</si>
  <si>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</si>
  <si>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</si>
  <si>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</si>
  <si>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</si>
  <si>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</si>
  <si>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</si>
  <si>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</si>
  <si>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</si>
  <si>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</si>
  <si>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</si>
  <si>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</si>
  <si>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dia</t>
  </si>
  <si>
    <t>Custo Mensal com Mão-de-obra (R$/mês)</t>
  </si>
  <si>
    <t>Meia de algodão com cano alto</t>
  </si>
  <si>
    <t>Quantitativos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</si>
  <si>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</si>
  <si>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</si>
  <si>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</si>
  <si>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</si>
  <si>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</si>
  <si>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</si>
  <si>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</si>
  <si>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</si>
  <si>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</si>
  <si>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</si>
  <si>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</si>
  <si>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</si>
  <si>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</si>
  <si>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</si>
  <si>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</si>
  <si>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</si>
  <si>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</si>
  <si>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</si>
  <si>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</si>
  <si>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</si>
  <si>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</si>
  <si>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</si>
  <si>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</si>
  <si>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</si>
  <si>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</si>
  <si>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</si>
  <si>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</si>
  <si>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</si>
  <si>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</si>
  <si>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</si>
  <si>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</si>
  <si>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</si>
  <si>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</si>
  <si>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</si>
  <si>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</si>
  <si>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</si>
  <si>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</si>
  <si>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</si>
  <si>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</si>
  <si>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</si>
  <si>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</si>
  <si>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</si>
  <si>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</si>
  <si>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</si>
  <si>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</si>
  <si>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</si>
  <si>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</si>
  <si>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</si>
  <si>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</si>
  <si>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</si>
  <si>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</si>
  <si>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</si>
  <si>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</si>
  <si>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</si>
  <si>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</si>
  <si>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</si>
  <si>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</si>
  <si>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</si>
  <si>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</si>
  <si>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</si>
  <si>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</si>
  <si>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</si>
  <si>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</si>
  <si>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</si>
  <si>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</si>
  <si>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</si>
  <si>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</si>
  <si>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</si>
  <si>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</si>
  <si>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</si>
  <si>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</si>
  <si>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</si>
  <si>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</si>
  <si>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</si>
  <si>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</si>
  <si>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</si>
  <si>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</si>
  <si>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</si>
  <si>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</si>
  <si>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</si>
  <si>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</si>
  <si>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</si>
  <si>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</si>
  <si>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</si>
  <si>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</si>
  <si>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</si>
  <si>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</si>
  <si>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</si>
  <si>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</si>
  <si>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</si>
  <si>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</si>
  <si>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</si>
  <si>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</si>
  <si>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</si>
  <si>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</si>
  <si>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</si>
  <si>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</si>
  <si>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</si>
  <si>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</si>
  <si>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</si>
  <si>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</si>
  <si>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</si>
  <si>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</si>
  <si>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</si>
  <si>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</si>
  <si>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</si>
  <si>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</si>
  <si>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</si>
  <si>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</si>
  <si>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</si>
  <si>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</si>
  <si>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</si>
  <si>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</si>
  <si>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</si>
  <si>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</si>
  <si>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Piso da categoria (1)</t>
  </si>
  <si>
    <t>Salário mínimo nacional (2)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</si>
  <si>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</si>
  <si>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</si>
  <si>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</si>
  <si>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</si>
  <si>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</si>
  <si>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</si>
  <si>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</si>
  <si>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</si>
  <si>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</si>
  <si>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</si>
  <si>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</si>
  <si>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</si>
  <si>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</si>
  <si>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</si>
  <si>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</si>
  <si>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</si>
  <si>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</si>
  <si>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</si>
  <si>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</si>
  <si>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</si>
  <si>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</si>
  <si>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</si>
  <si>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</si>
  <si>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</si>
  <si>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</si>
  <si>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</si>
  <si>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</si>
  <si>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</si>
  <si>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</si>
  <si>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</si>
  <si>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</si>
  <si>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</si>
  <si>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</si>
  <si>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</si>
  <si>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</si>
  <si>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</si>
  <si>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</si>
  <si>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</si>
  <si>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</si>
  <si>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</si>
  <si>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Estoque recuperado início do Período 01-09-2016</t>
  </si>
  <si>
    <t>Estoque recuperado final do Período 31-08-2017</t>
  </si>
  <si>
    <t>Variação Emprego Absoluta de 01-09-2016 a 31-08-2017</t>
  </si>
  <si>
    <t>i</t>
  </si>
  <si>
    <t>Depreciação Média</t>
  </si>
  <si>
    <t>1.1. Separador Turno Dia</t>
  </si>
  <si>
    <t>1.2. Operador Turno Dia</t>
  </si>
  <si>
    <t>1.3. Motorista Turno Dia</t>
  </si>
  <si>
    <t>Total por Operador</t>
  </si>
  <si>
    <t>1.4. Administração</t>
  </si>
  <si>
    <t>Total por Supervisor</t>
  </si>
  <si>
    <t>Vale Transporte</t>
  </si>
  <si>
    <t>Dias Trabalhados por mês</t>
  </si>
  <si>
    <t>vale</t>
  </si>
  <si>
    <t>1.6. Vale Transporte</t>
  </si>
  <si>
    <t>1.7. Vale-refeição (diário)</t>
  </si>
  <si>
    <t>1.8. Auxílio Alimentação (mensal)</t>
  </si>
  <si>
    <t>-</t>
  </si>
  <si>
    <t>Botina de segurança</t>
  </si>
  <si>
    <t>Capa de chuva com reflexivo</t>
  </si>
  <si>
    <t>Protetor auricular</t>
  </si>
  <si>
    <t>2.1. Uniformes e EPIs para Separadores</t>
  </si>
  <si>
    <t>Depreciação mensal veículo</t>
  </si>
  <si>
    <t>Custo de aquisição container</t>
  </si>
  <si>
    <t>Vida útil do container</t>
  </si>
  <si>
    <t>Idade do container</t>
  </si>
  <si>
    <t>Depreciação do container</t>
  </si>
  <si>
    <t>Depreciação mensal do container</t>
  </si>
  <si>
    <t>Custo de manutenção do caminhão</t>
  </si>
  <si>
    <t>Lavador a Jato</t>
  </si>
  <si>
    <t xml:space="preserve">Quantidade média de resíduos destinados ao aterro por mês: </t>
  </si>
  <si>
    <t xml:space="preserve">Quantidade média de resíduos reciclados por mês: </t>
  </si>
  <si>
    <t>Custo de manutenção da retroescavadeira</t>
  </si>
  <si>
    <t>3.1. Veículo de transporte de resíduos</t>
  </si>
  <si>
    <t>3.2. Retroescavadeira</t>
  </si>
  <si>
    <t>3.2.1. Depreciação</t>
  </si>
  <si>
    <t>3.2.2. Remuneração do Capital</t>
  </si>
  <si>
    <t>3.2.3. Impostos e Seguros</t>
  </si>
  <si>
    <t>3.2.4. Consumos</t>
  </si>
  <si>
    <t>3.2.5. Manutenção</t>
  </si>
  <si>
    <t>3.2.6. Pneus</t>
  </si>
  <si>
    <t>Carga horária de trabalho mensal</t>
  </si>
  <si>
    <t>Custo de óleo diesel / h trabalhada</t>
  </si>
  <si>
    <t>Custo de óleo do motor /1.000 h</t>
  </si>
  <si>
    <t>Custo de óleo da transmissão /1.000 h</t>
  </si>
  <si>
    <t>Custo de óleo hidráulico / 1.000 h</t>
  </si>
  <si>
    <t>Custo de graxa /1.000 h</t>
  </si>
  <si>
    <t>Custo com consumos/h trabalhada</t>
  </si>
  <si>
    <t>h</t>
  </si>
  <si>
    <t>R$/h trabalhada</t>
  </si>
  <si>
    <t>Custo do jogo de pneus dianteiros 17,5 - 14</t>
  </si>
  <si>
    <t>Custo do jogo de pneus traseiros 19,5 - 24</t>
  </si>
  <si>
    <t>Custo jogo completo/ h trabalhada</t>
  </si>
  <si>
    <t>h/jogo</t>
  </si>
  <si>
    <t>L/h</t>
  </si>
  <si>
    <t>Valor unitário</t>
  </si>
  <si>
    <t>7. Destinação final</t>
  </si>
  <si>
    <r>
      <t>Custo jg. compl. + 2</t>
    </r>
    <r>
      <rPr>
        <sz val="10"/>
        <rFont val="Arial"/>
        <family val="2"/>
      </rPr>
      <t xml:space="preserve"> recap./ km rodado</t>
    </r>
  </si>
  <si>
    <t>PREÇO POR TONELADA:  [A/B]</t>
  </si>
  <si>
    <t xml:space="preserve">1. Triagem e Transbordo de Resíduos Sólidos </t>
  </si>
  <si>
    <t>Total de Veículos e Equipamentos</t>
  </si>
  <si>
    <t>Custo de aquisição do chassis (com Roll-on/Roll-off)</t>
  </si>
  <si>
    <t>Custo de óleo do motor /10.000 km rodados</t>
  </si>
  <si>
    <t>l/10.000 km</t>
  </si>
  <si>
    <t>Custo de óleo da transmissão /10.000 km</t>
  </si>
  <si>
    <t>Custo de óleo hidráulico / 10.000 km</t>
  </si>
  <si>
    <t>Custo de graxa /10.000 km rodados</t>
  </si>
  <si>
    <t>kg/10.000 km</t>
  </si>
  <si>
    <t>Custo do jogo de pneus 275/80 R22,5</t>
  </si>
  <si>
    <t>l/100 h</t>
  </si>
  <si>
    <t>kg/100 h</t>
  </si>
  <si>
    <t>PREÇO TOTAL MENSAL</t>
  </si>
  <si>
    <t>Capecete de segurança</t>
  </si>
  <si>
    <t>Óculos de segurança</t>
  </si>
  <si>
    <t>Capacete de segurança</t>
  </si>
  <si>
    <t>Respirador</t>
  </si>
  <si>
    <t>3.3. Prensa</t>
  </si>
  <si>
    <t>Custo de aquisição do prensa</t>
  </si>
  <si>
    <t>Idade do equipamento</t>
  </si>
  <si>
    <t>Vida útil do equipamento</t>
  </si>
  <si>
    <t>Depreciação do equipamento</t>
  </si>
  <si>
    <t>3.3.1. Depreciação</t>
  </si>
  <si>
    <t>3.3.2. Remuneração do Capital</t>
  </si>
  <si>
    <t>Bebedouro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</si>
</sst>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6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Fill="1" applyAlignment="1">
      <alignment vertical="center"/>
    </xf>
    <xf numFmtId="0" fontId="17" fillId="0" borderId="14" xfId="0" applyFont="1" applyBorder="1"/>
    <xf numFmtId="0" fontId="6" fillId="0" borderId="0" xfId="0" applyFont="1" applyBorder="1"/>
    <xf numFmtId="0" fontId="17" fillId="0" borderId="44" xfId="0" applyFont="1" applyBorder="1"/>
    <xf numFmtId="0" fontId="17" fillId="2" borderId="20" xfId="0" applyFont="1" applyFill="1" applyBorder="1"/>
    <xf numFmtId="0" fontId="17" fillId="0" borderId="23" xfId="0" applyFont="1" applyBorder="1"/>
    <xf numFmtId="0" fontId="17" fillId="0" borderId="48" xfId="0" applyFont="1" applyBorder="1"/>
    <xf numFmtId="0" fontId="17" fillId="0" borderId="45" xfId="0" applyFont="1" applyBorder="1"/>
    <xf numFmtId="0" fontId="17" fillId="0" borderId="49" xfId="0" applyFont="1" applyBorder="1"/>
    <xf numFmtId="0" fontId="17" fillId="0" borderId="20" xfId="0" applyFont="1" applyBorder="1"/>
    <xf numFmtId="0" fontId="17" fillId="0" borderId="28" xfId="0" applyFont="1" applyBorder="1"/>
    <xf numFmtId="2" fontId="18" fillId="5" borderId="1" xfId="0" applyNumberFormat="1" applyFont="1" applyFill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2" fontId="18" fillId="5" borderId="35" xfId="0" applyNumberFormat="1" applyFont="1" applyFill="1" applyBorder="1" applyAlignment="1">
      <alignment horizontal="right" vertical="center"/>
    </xf>
    <xf numFmtId="0" fontId="18" fillId="0" borderId="2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0" fontId="18" fillId="0" borderId="20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0" fontId="22" fillId="0" borderId="20" xfId="0" applyNumberFormat="1" applyFont="1" applyBorder="1" applyAlignment="1">
      <alignment horizontal="right" vertical="center"/>
    </xf>
    <xf numFmtId="0" fontId="18" fillId="4" borderId="23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10" fontId="22" fillId="4" borderId="20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8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8" fillId="7" borderId="24" xfId="0" applyFont="1" applyFill="1" applyBorder="1" applyAlignment="1">
      <alignment horizontal="left" vertical="center"/>
    </xf>
    <xf numFmtId="0" fontId="22" fillId="7" borderId="35" xfId="0" applyFont="1" applyFill="1" applyBorder="1" applyAlignment="1">
      <alignment horizontal="left" vertical="center"/>
    </xf>
    <xf numFmtId="10" fontId="22" fillId="7" borderId="36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10" fontId="22" fillId="0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left" vertical="center"/>
    </xf>
    <xf numFmtId="10" fontId="18" fillId="0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vertical="center"/>
    </xf>
    <xf numFmtId="10" fontId="18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10" fontId="22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6" fillId="0" borderId="0" xfId="0" applyFont="1" applyBorder="1"/>
    <xf numFmtId="0" fontId="18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2" borderId="20" xfId="0" applyFont="1" applyFill="1" applyBorder="1"/>
    <xf numFmtId="0" fontId="5" fillId="0" borderId="44" xfId="0" applyFont="1" applyBorder="1"/>
    <xf numFmtId="0" fontId="5" fillId="2" borderId="45" xfId="0" applyFont="1" applyFill="1" applyBorder="1"/>
    <xf numFmtId="0" fontId="5" fillId="0" borderId="46" xfId="0" applyFont="1" applyBorder="1"/>
    <xf numFmtId="0" fontId="5" fillId="2" borderId="47" xfId="0" applyFont="1" applyFill="1" applyBorder="1"/>
    <xf numFmtId="0" fontId="5" fillId="0" borderId="37" xfId="0" applyFont="1" applyBorder="1"/>
    <xf numFmtId="0" fontId="5" fillId="0" borderId="38" xfId="0" applyFont="1" applyBorder="1"/>
    <xf numFmtId="0" fontId="7" fillId="0" borderId="45" xfId="0" applyFont="1" applyBorder="1"/>
    <xf numFmtId="9" fontId="7" fillId="0" borderId="45" xfId="0" applyNumberFormat="1" applyFont="1" applyBorder="1"/>
    <xf numFmtId="0" fontId="7" fillId="0" borderId="37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2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2" borderId="3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10" fontId="7" fillId="4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0" fontId="6" fillId="0" borderId="51" xfId="0" applyFont="1" applyBorder="1"/>
    <xf numFmtId="0" fontId="19" fillId="0" borderId="51" xfId="0" applyFont="1" applyBorder="1" applyAlignment="1">
      <alignment horizontal="justify"/>
    </xf>
    <xf numFmtId="0" fontId="19" fillId="0" borderId="52" xfId="0" applyFont="1" applyBorder="1" applyAlignment="1">
      <alignment horizontal="justify"/>
    </xf>
    <xf numFmtId="0" fontId="16" fillId="8" borderId="5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" fillId="0" borderId="0" xfId="0" applyFont="1"/>
    <xf numFmtId="169" fontId="17" fillId="0" borderId="45" xfId="0" applyNumberFormat="1" applyFont="1" applyBorder="1"/>
    <xf numFmtId="169" fontId="7" fillId="0" borderId="45" xfId="0" applyNumberFormat="1" applyFont="1" applyBorder="1"/>
    <xf numFmtId="169" fontId="7" fillId="0" borderId="31" xfId="0" applyNumberFormat="1" applyFont="1" applyBorder="1"/>
    <xf numFmtId="0" fontId="5" fillId="0" borderId="23" xfId="0" applyFont="1" applyBorder="1" applyAlignment="1">
      <alignment horizontal="right"/>
    </xf>
    <xf numFmtId="165" fontId="3" fillId="3" borderId="0" xfId="3" applyFont="1" applyFill="1" applyBorder="1" applyAlignment="1">
      <alignment horizontal="center" vertical="center"/>
    </xf>
    <xf numFmtId="165" fontId="3" fillId="3" borderId="0" xfId="3" applyFont="1" applyFill="1" applyBorder="1" applyAlignment="1">
      <alignment vertical="center"/>
    </xf>
    <xf numFmtId="165" fontId="6" fillId="3" borderId="0" xfId="3" applyNumberFormat="1" applyFont="1" applyFill="1" applyBorder="1" applyAlignment="1">
      <alignment vertical="center"/>
    </xf>
    <xf numFmtId="165" fontId="6" fillId="3" borderId="0" xfId="3" applyFont="1" applyFill="1" applyBorder="1" applyAlignment="1">
      <alignment vertical="center"/>
    </xf>
    <xf numFmtId="165" fontId="3" fillId="3" borderId="39" xfId="3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165" fontId="0" fillId="3" borderId="0" xfId="3" applyFont="1" applyFill="1" applyAlignment="1">
      <alignment vertical="center"/>
    </xf>
    <xf numFmtId="0" fontId="0" fillId="3" borderId="0" xfId="0" applyFill="1" applyAlignment="1">
      <alignment vertical="center"/>
    </xf>
    <xf numFmtId="165" fontId="5" fillId="3" borderId="0" xfId="3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37" xfId="0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165" fontId="0" fillId="3" borderId="0" xfId="3" applyFont="1" applyFill="1" applyBorder="1" applyAlignment="1">
      <alignment vertical="center"/>
    </xf>
    <xf numFmtId="165" fontId="0" fillId="3" borderId="38" xfId="3" applyFont="1" applyFill="1" applyBorder="1" applyAlignment="1">
      <alignment vertical="center"/>
    </xf>
    <xf numFmtId="165" fontId="3" fillId="3" borderId="19" xfId="3" applyFont="1" applyFill="1" applyBorder="1" applyAlignment="1">
      <alignment horizontal="center" vertical="center"/>
    </xf>
    <xf numFmtId="165" fontId="0" fillId="3" borderId="11" xfId="3" applyFont="1" applyFill="1" applyBorder="1" applyAlignment="1">
      <alignment vertical="center"/>
    </xf>
    <xf numFmtId="165" fontId="3" fillId="3" borderId="11" xfId="3" applyFont="1" applyFill="1" applyBorder="1" applyAlignment="1">
      <alignment vertical="center"/>
    </xf>
    <xf numFmtId="165" fontId="3" fillId="3" borderId="34" xfId="3" applyFont="1" applyFill="1" applyBorder="1" applyAlignment="1">
      <alignment vertical="center"/>
    </xf>
    <xf numFmtId="165" fontId="3" fillId="3" borderId="12" xfId="3" applyFont="1" applyFill="1" applyBorder="1" applyAlignment="1">
      <alignment horizontal="center" vertical="center"/>
    </xf>
    <xf numFmtId="165" fontId="3" fillId="3" borderId="14" xfId="3" applyFont="1" applyFill="1" applyBorder="1" applyAlignment="1">
      <alignment vertical="center"/>
    </xf>
    <xf numFmtId="165" fontId="3" fillId="3" borderId="9" xfId="0" applyNumberFormat="1" applyFont="1" applyFill="1" applyBorder="1" applyAlignment="1">
      <alignment vertical="center"/>
    </xf>
    <xf numFmtId="165" fontId="3" fillId="3" borderId="9" xfId="3" applyFont="1" applyFill="1" applyBorder="1" applyAlignment="1">
      <alignment vertical="center"/>
    </xf>
    <xf numFmtId="168" fontId="3" fillId="3" borderId="1" xfId="0" applyNumberFormat="1" applyFont="1" applyFill="1" applyBorder="1" applyAlignment="1">
      <alignment vertical="center"/>
    </xf>
    <xf numFmtId="10" fontId="3" fillId="3" borderId="15" xfId="2" applyNumberFormat="1" applyFont="1" applyFill="1" applyBorder="1" applyAlignment="1">
      <alignment vertical="center"/>
    </xf>
    <xf numFmtId="165" fontId="3" fillId="3" borderId="0" xfId="3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0" fillId="3" borderId="14" xfId="3" applyFont="1" applyFill="1" applyBorder="1" applyAlignment="1">
      <alignment vertical="center"/>
    </xf>
    <xf numFmtId="165" fontId="0" fillId="3" borderId="9" xfId="0" applyNumberFormat="1" applyFill="1" applyBorder="1" applyAlignment="1">
      <alignment vertical="center"/>
    </xf>
    <xf numFmtId="165" fontId="0" fillId="3" borderId="9" xfId="3" applyFont="1" applyFill="1" applyBorder="1" applyAlignment="1">
      <alignment vertical="center"/>
    </xf>
    <xf numFmtId="168" fontId="0" fillId="3" borderId="1" xfId="0" applyNumberFormat="1" applyFill="1" applyBorder="1" applyAlignment="1">
      <alignment vertical="center"/>
    </xf>
    <xf numFmtId="10" fontId="0" fillId="3" borderId="15" xfId="2" applyNumberFormat="1" applyFont="1" applyFill="1" applyBorder="1" applyAlignment="1">
      <alignment vertical="center"/>
    </xf>
    <xf numFmtId="165" fontId="3" fillId="3" borderId="14" xfId="3" applyFont="1" applyFill="1" applyBorder="1" applyAlignment="1">
      <alignment horizontal="left" vertical="center"/>
    </xf>
    <xf numFmtId="4" fontId="3" fillId="3" borderId="9" xfId="0" applyNumberFormat="1" applyFont="1" applyFill="1" applyBorder="1" applyAlignment="1">
      <alignment horizontal="centerContinuous" vertical="center"/>
    </xf>
    <xf numFmtId="165" fontId="1" fillId="3" borderId="14" xfId="3" applyFont="1" applyFill="1" applyBorder="1" applyAlignment="1">
      <alignment horizontal="left" vertical="center"/>
    </xf>
    <xf numFmtId="4" fontId="0" fillId="3" borderId="9" xfId="0" applyNumberFormat="1" applyFill="1" applyBorder="1" applyAlignment="1">
      <alignment horizontal="centerContinuous" vertical="center"/>
    </xf>
    <xf numFmtId="10" fontId="6" fillId="3" borderId="15" xfId="2" applyNumberFormat="1" applyFont="1" applyFill="1" applyBorder="1" applyAlignment="1">
      <alignment vertical="center"/>
    </xf>
    <xf numFmtId="165" fontId="3" fillId="3" borderId="48" xfId="3" applyFont="1" applyFill="1" applyBorder="1" applyAlignment="1">
      <alignment horizontal="left" vertical="center"/>
    </xf>
    <xf numFmtId="168" fontId="3" fillId="3" borderId="3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5" fontId="3" fillId="3" borderId="28" xfId="3" applyFont="1" applyFill="1" applyBorder="1" applyAlignment="1">
      <alignment horizontal="left" vertical="center"/>
    </xf>
    <xf numFmtId="4" fontId="3" fillId="3" borderId="29" xfId="0" applyNumberFormat="1" applyFont="1" applyFill="1" applyBorder="1" applyAlignment="1">
      <alignment horizontal="centerContinuous" vertical="center"/>
    </xf>
    <xf numFmtId="165" fontId="3" fillId="3" borderId="29" xfId="3" applyFont="1" applyFill="1" applyBorder="1" applyAlignment="1">
      <alignment vertical="center"/>
    </xf>
    <xf numFmtId="164" fontId="3" fillId="3" borderId="56" xfId="0" applyNumberFormat="1" applyFont="1" applyFill="1" applyBorder="1" applyAlignment="1">
      <alignment vertical="center"/>
    </xf>
    <xf numFmtId="9" fontId="3" fillId="3" borderId="31" xfId="2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165" fontId="3" fillId="3" borderId="13" xfId="3" applyFont="1" applyFill="1" applyBorder="1" applyAlignment="1">
      <alignment horizontal="right" vertical="center"/>
    </xf>
    <xf numFmtId="165" fontId="6" fillId="3" borderId="19" xfId="3" applyFont="1" applyFill="1" applyBorder="1" applyAlignment="1">
      <alignment vertical="center"/>
    </xf>
    <xf numFmtId="165" fontId="6" fillId="3" borderId="11" xfId="3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" fontId="6" fillId="3" borderId="12" xfId="3" applyNumberFormat="1" applyFont="1" applyFill="1" applyBorder="1" applyAlignment="1">
      <alignment horizontal="center" vertical="center"/>
    </xf>
    <xf numFmtId="165" fontId="6" fillId="3" borderId="14" xfId="3" applyFont="1" applyFill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" fontId="6" fillId="3" borderId="20" xfId="3" applyNumberFormat="1" applyFont="1" applyFill="1" applyBorder="1" applyAlignment="1">
      <alignment horizontal="center" vertical="center"/>
    </xf>
    <xf numFmtId="165" fontId="3" fillId="3" borderId="28" xfId="3" applyFont="1" applyFill="1" applyBorder="1" applyAlignment="1">
      <alignment vertical="center"/>
    </xf>
    <xf numFmtId="4" fontId="3" fillId="3" borderId="29" xfId="0" applyNumberFormat="1" applyFont="1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1" fontId="3" fillId="3" borderId="31" xfId="3" applyNumberFormat="1" applyFont="1" applyFill="1" applyBorder="1" applyAlignment="1">
      <alignment horizontal="center" vertical="center"/>
    </xf>
    <xf numFmtId="165" fontId="3" fillId="3" borderId="37" xfId="3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165" fontId="6" fillId="3" borderId="38" xfId="3" applyFont="1" applyFill="1" applyBorder="1" applyAlignment="1">
      <alignment vertical="center"/>
    </xf>
    <xf numFmtId="165" fontId="6" fillId="3" borderId="1" xfId="3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" fontId="6" fillId="3" borderId="1" xfId="3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vertical="center"/>
    </xf>
    <xf numFmtId="165" fontId="3" fillId="3" borderId="1" xfId="3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3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66" fontId="6" fillId="3" borderId="0" xfId="3" applyNumberFormat="1" applyFont="1" applyFill="1" applyBorder="1" applyAlignment="1">
      <alignment horizontal="center" vertical="center"/>
    </xf>
    <xf numFmtId="165" fontId="3" fillId="3" borderId="5" xfId="3" applyFont="1" applyFill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6" fontId="3" fillId="3" borderId="0" xfId="3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65" fontId="12" fillId="3" borderId="17" xfId="3" applyFont="1" applyFill="1" applyBorder="1" applyAlignment="1">
      <alignment horizontal="center" vertical="center"/>
    </xf>
    <xf numFmtId="165" fontId="12" fillId="3" borderId="18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3" fillId="3" borderId="0" xfId="3" applyFont="1" applyFill="1" applyAlignment="1">
      <alignment horizontal="center" vertical="center"/>
    </xf>
    <xf numFmtId="165" fontId="3" fillId="3" borderId="3" xfId="3" applyFont="1" applyFill="1" applyBorder="1" applyAlignment="1">
      <alignment horizontal="center" vertical="center"/>
    </xf>
    <xf numFmtId="165" fontId="6" fillId="3" borderId="0" xfId="3" applyFont="1" applyFill="1" applyAlignment="1">
      <alignment horizontal="right" vertical="center"/>
    </xf>
    <xf numFmtId="165" fontId="3" fillId="3" borderId="7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9" xfId="3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6" fillId="3" borderId="0" xfId="3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165" fontId="1" fillId="3" borderId="0" xfId="3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6" fontId="1" fillId="3" borderId="1" xfId="3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horizontal="center" vertical="center"/>
    </xf>
    <xf numFmtId="166" fontId="1" fillId="3" borderId="1" xfId="3" applyNumberFormat="1" applyFont="1" applyFill="1" applyBorder="1" applyAlignment="1">
      <alignment vertical="center"/>
    </xf>
    <xf numFmtId="43" fontId="1" fillId="3" borderId="2" xfId="3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65" fontId="12" fillId="3" borderId="31" xfId="3" applyFont="1" applyFill="1" applyBorder="1" applyAlignment="1">
      <alignment horizontal="center" vertical="center"/>
    </xf>
    <xf numFmtId="166" fontId="6" fillId="3" borderId="1" xfId="3" applyNumberFormat="1" applyFont="1" applyFill="1" applyBorder="1" applyAlignment="1">
      <alignment vertical="center"/>
    </xf>
    <xf numFmtId="165" fontId="6" fillId="3" borderId="1" xfId="3" applyNumberFormat="1" applyFont="1" applyFill="1" applyBorder="1" applyAlignment="1">
      <alignment horizontal="center" vertical="center"/>
    </xf>
    <xf numFmtId="165" fontId="3" fillId="3" borderId="4" xfId="3" applyFont="1" applyFill="1" applyBorder="1" applyAlignment="1">
      <alignment vertical="center"/>
    </xf>
    <xf numFmtId="165" fontId="1" fillId="3" borderId="1" xfId="3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5" fontId="3" fillId="3" borderId="6" xfId="3" applyFont="1" applyFill="1" applyBorder="1" applyAlignment="1">
      <alignment vertical="center"/>
    </xf>
    <xf numFmtId="165" fontId="3" fillId="3" borderId="7" xfId="3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 wrapText="1"/>
    </xf>
    <xf numFmtId="13" fontId="6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165" fontId="6" fillId="3" borderId="0" xfId="3" applyFont="1" applyFill="1"/>
    <xf numFmtId="0" fontId="6" fillId="3" borderId="0" xfId="0" applyFont="1" applyFill="1"/>
    <xf numFmtId="0" fontId="6" fillId="3" borderId="6" xfId="0" applyFont="1" applyFill="1" applyBorder="1" applyAlignment="1">
      <alignment vertical="center"/>
    </xf>
    <xf numFmtId="165" fontId="6" fillId="3" borderId="6" xfId="3" applyFont="1" applyFill="1" applyBorder="1" applyAlignment="1">
      <alignment vertical="center"/>
    </xf>
    <xf numFmtId="165" fontId="6" fillId="3" borderId="7" xfId="3" applyFont="1" applyFill="1" applyBorder="1" applyAlignment="1">
      <alignment vertical="center"/>
    </xf>
    <xf numFmtId="165" fontId="3" fillId="3" borderId="4" xfId="3" applyFont="1" applyFill="1" applyBorder="1" applyAlignment="1">
      <alignment horizontal="center" vertical="center"/>
    </xf>
    <xf numFmtId="0" fontId="8" fillId="3" borderId="0" xfId="1" applyFill="1" applyAlignment="1" applyProtection="1">
      <alignment vertical="center"/>
    </xf>
    <xf numFmtId="165" fontId="1" fillId="3" borderId="2" xfId="3" applyFont="1" applyFill="1" applyBorder="1" applyAlignment="1">
      <alignment horizontal="center" vertical="center"/>
    </xf>
    <xf numFmtId="165" fontId="6" fillId="3" borderId="0" xfId="3" applyFont="1" applyFill="1" applyAlignment="1">
      <alignment horizontal="center" vertical="center"/>
    </xf>
    <xf numFmtId="43" fontId="6" fillId="3" borderId="0" xfId="0" applyNumberFormat="1" applyFont="1" applyFill="1" applyAlignment="1">
      <alignment vertical="center"/>
    </xf>
    <xf numFmtId="0" fontId="3" fillId="3" borderId="53" xfId="0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165" fontId="3" fillId="3" borderId="53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65" fontId="12" fillId="3" borderId="33" xfId="3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67" fontId="6" fillId="3" borderId="1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/>
    </xf>
    <xf numFmtId="167" fontId="3" fillId="3" borderId="1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65" fontId="11" fillId="3" borderId="1" xfId="3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5" fontId="3" fillId="3" borderId="4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5" fontId="12" fillId="3" borderId="1" xfId="3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5" fillId="3" borderId="39" xfId="0" applyFont="1" applyFill="1" applyBorder="1" applyAlignment="1">
      <alignment vertical="center"/>
    </xf>
    <xf numFmtId="165" fontId="1" fillId="3" borderId="39" xfId="3" applyFont="1" applyFill="1" applyBorder="1" applyAlignment="1">
      <alignment vertical="center"/>
    </xf>
    <xf numFmtId="165" fontId="6" fillId="3" borderId="2" xfId="3" applyFont="1" applyFill="1" applyBorder="1" applyAlignment="1">
      <alignment vertical="center"/>
    </xf>
    <xf numFmtId="165" fontId="6" fillId="3" borderId="55" xfId="3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3" borderId="10" xfId="3" applyFont="1" applyFill="1" applyBorder="1" applyAlignment="1">
      <alignment vertical="center"/>
    </xf>
    <xf numFmtId="165" fontId="4" fillId="3" borderId="0" xfId="3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5" fontId="3" fillId="3" borderId="7" xfId="3" applyFont="1" applyFill="1" applyBorder="1" applyAlignment="1">
      <alignment horizontal="right" vertical="center"/>
    </xf>
    <xf numFmtId="165" fontId="3" fillId="3" borderId="4" xfId="3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165" fontId="3" fillId="3" borderId="14" xfId="3" applyFont="1" applyFill="1" applyBorder="1" applyAlignment="1">
      <alignment horizontal="left" vertical="center"/>
    </xf>
    <xf numFmtId="165" fontId="3" fillId="3" borderId="9" xfId="3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165" fontId="3" fillId="3" borderId="5" xfId="3" applyFont="1" applyFill="1" applyBorder="1" applyAlignment="1">
      <alignment horizontal="center" vertical="center"/>
    </xf>
    <xf numFmtId="165" fontId="3" fillId="3" borderId="6" xfId="3" applyFont="1" applyFill="1" applyBorder="1" applyAlignment="1">
      <alignment horizontal="center" vertical="center"/>
    </xf>
    <xf numFmtId="165" fontId="3" fillId="3" borderId="40" xfId="3" applyFont="1" applyFill="1" applyBorder="1" applyAlignment="1">
      <alignment horizontal="center" vertical="center"/>
    </xf>
    <xf numFmtId="165" fontId="4" fillId="3" borderId="5" xfId="3" applyFont="1" applyFill="1" applyBorder="1" applyAlignment="1">
      <alignment horizontal="center" vertical="center"/>
    </xf>
    <xf numFmtId="165" fontId="4" fillId="3" borderId="6" xfId="3" applyFont="1" applyFill="1" applyBorder="1" applyAlignment="1">
      <alignment horizontal="center" vertical="center"/>
    </xf>
    <xf numFmtId="165" fontId="4" fillId="3" borderId="7" xfId="3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0"/>
  <sheetViews>
    <sheetView view="pageBreakPreview" topLeftCell="A336" zoomScaleNormal="100" zoomScaleSheetLayoutView="100" workbookViewId="0">
      <selection activeCell="F336" sqref="A1:XFD1048576"/>
    </sheetView>
  </sheetViews>
  <sheetFormatPr defaultRowHeight="12.75" x14ac:dyDescent="0.2"/>
  <cols>
    <col min="1" max="1" width="44.5703125" style="166" customWidth="1"/>
    <col min="2" max="2" width="16" style="166" bestFit="1" customWidth="1"/>
    <col min="3" max="3" width="11.85546875" style="166" customWidth="1"/>
    <col min="4" max="4" width="14.7109375" style="167" customWidth="1"/>
    <col min="5" max="5" width="15.42578125" style="167" customWidth="1"/>
    <col min="6" max="6" width="13.28515625" style="167" customWidth="1"/>
    <col min="7" max="7" width="28.140625" style="167" customWidth="1"/>
    <col min="8" max="8" width="9.140625" style="166"/>
    <col min="9" max="9" width="14.5703125" style="166" customWidth="1"/>
    <col min="10" max="10" width="13.42578125" style="166" customWidth="1"/>
    <col min="11" max="16384" width="9.140625" style="166"/>
  </cols>
  <sheetData>
    <row r="1" spans="1:7" s="127" customFormat="1" ht="16.5" customHeight="1" thickBot="1" x14ac:dyDescent="0.25">
      <c r="A1" s="124"/>
      <c r="B1" s="125"/>
      <c r="C1" s="125"/>
      <c r="D1" s="126"/>
      <c r="E1" s="126"/>
      <c r="F1" s="126"/>
      <c r="G1" s="126"/>
    </row>
    <row r="2" spans="1:7" s="129" customFormat="1" ht="18" x14ac:dyDescent="0.2">
      <c r="A2" s="297" t="s">
        <v>296</v>
      </c>
      <c r="B2" s="298"/>
      <c r="C2" s="298"/>
      <c r="D2" s="298"/>
      <c r="E2" s="298"/>
      <c r="F2" s="299"/>
      <c r="G2" s="128"/>
    </row>
    <row r="3" spans="1:7" s="129" customFormat="1" ht="21.75" customHeight="1" x14ac:dyDescent="0.2">
      <c r="A3" s="300" t="s">
        <v>34</v>
      </c>
      <c r="B3" s="301"/>
      <c r="C3" s="301"/>
      <c r="D3" s="301"/>
      <c r="E3" s="301"/>
      <c r="F3" s="302"/>
      <c r="G3" s="128"/>
    </row>
    <row r="4" spans="1:7" s="127" customFormat="1" ht="10.9" customHeight="1" thickBot="1" x14ac:dyDescent="0.25">
      <c r="A4" s="130"/>
      <c r="B4" s="131"/>
      <c r="C4" s="131"/>
      <c r="D4" s="132"/>
      <c r="E4" s="132"/>
      <c r="F4" s="133"/>
      <c r="G4" s="126"/>
    </row>
    <row r="5" spans="1:7" s="127" customFormat="1" ht="15.75" customHeight="1" thickBot="1" x14ac:dyDescent="0.25">
      <c r="A5" s="306" t="s">
        <v>178</v>
      </c>
      <c r="B5" s="307"/>
      <c r="C5" s="307"/>
      <c r="D5" s="307"/>
      <c r="E5" s="307"/>
      <c r="F5" s="308"/>
      <c r="G5" s="126"/>
    </row>
    <row r="6" spans="1:7" s="127" customFormat="1" ht="15.75" customHeight="1" x14ac:dyDescent="0.2">
      <c r="A6" s="134" t="s">
        <v>177</v>
      </c>
      <c r="B6" s="135"/>
      <c r="C6" s="135"/>
      <c r="D6" s="136"/>
      <c r="E6" s="137" t="s">
        <v>29</v>
      </c>
      <c r="F6" s="138" t="s">
        <v>1</v>
      </c>
      <c r="G6" s="126"/>
    </row>
    <row r="7" spans="1:7" s="145" customFormat="1" ht="15.75" customHeight="1" x14ac:dyDescent="0.2">
      <c r="A7" s="139" t="str">
        <f>A53</f>
        <v>1. Mão-de-obra</v>
      </c>
      <c r="B7" s="140"/>
      <c r="C7" s="141"/>
      <c r="D7" s="141"/>
      <c r="E7" s="142">
        <f>F125</f>
        <v>59870.808458</v>
      </c>
      <c r="F7" s="143">
        <f t="shared" ref="F7:F23" si="0">IFERROR(E7/$E$35,0)</f>
        <v>0.37473107414585799</v>
      </c>
      <c r="G7" s="144"/>
    </row>
    <row r="8" spans="1:7" s="127" customFormat="1" ht="15.75" customHeight="1" x14ac:dyDescent="0.2">
      <c r="A8" s="146" t="str">
        <f>A55</f>
        <v>1.1. Separador Turno Dia</v>
      </c>
      <c r="B8" s="147"/>
      <c r="C8" s="148"/>
      <c r="D8" s="148"/>
      <c r="E8" s="149">
        <f>F63</f>
        <v>42411.711405000002</v>
      </c>
      <c r="F8" s="150">
        <f t="shared" si="0"/>
        <v>0.26545467783868132</v>
      </c>
      <c r="G8" s="126"/>
    </row>
    <row r="9" spans="1:7" s="127" customFormat="1" ht="15.75" customHeight="1" x14ac:dyDescent="0.2">
      <c r="A9" s="146" t="str">
        <f>A65</f>
        <v>1.2. Operador Turno Dia</v>
      </c>
      <c r="B9" s="147"/>
      <c r="C9" s="148"/>
      <c r="D9" s="148"/>
      <c r="E9" s="149">
        <f>F75</f>
        <v>3257.3765549999998</v>
      </c>
      <c r="F9" s="150">
        <f t="shared" si="0"/>
        <v>2.0387902665603325E-2</v>
      </c>
      <c r="G9" s="126"/>
    </row>
    <row r="10" spans="1:7" s="127" customFormat="1" ht="15.75" customHeight="1" x14ac:dyDescent="0.2">
      <c r="A10" s="146" t="str">
        <f>A77</f>
        <v>1.3. Motorista Turno Dia</v>
      </c>
      <c r="B10" s="147"/>
      <c r="C10" s="148"/>
      <c r="D10" s="148"/>
      <c r="E10" s="149">
        <f>F87</f>
        <v>3600.8208999999997</v>
      </c>
      <c r="F10" s="150">
        <f t="shared" si="0"/>
        <v>2.2537519008289836E-2</v>
      </c>
      <c r="G10" s="126"/>
    </row>
    <row r="11" spans="1:7" s="127" customFormat="1" ht="15.75" customHeight="1" x14ac:dyDescent="0.2">
      <c r="A11" s="146" t="str">
        <f>A89</f>
        <v>1.4. Administração</v>
      </c>
      <c r="B11" s="147"/>
      <c r="C11" s="148"/>
      <c r="D11" s="148"/>
      <c r="E11" s="149">
        <f>F97</f>
        <v>2908.2358380000005</v>
      </c>
      <c r="F11" s="150">
        <f t="shared" si="0"/>
        <v>1.8202632760633761E-2</v>
      </c>
      <c r="G11" s="126"/>
    </row>
    <row r="12" spans="1:7" s="127" customFormat="1" ht="15.75" customHeight="1" x14ac:dyDescent="0.2">
      <c r="A12" s="146" t="str">
        <f>A99</f>
        <v>1.6. Vale Transporte</v>
      </c>
      <c r="B12" s="147"/>
      <c r="C12" s="148"/>
      <c r="D12" s="148"/>
      <c r="E12" s="149">
        <f>F107</f>
        <v>1486.5237599999998</v>
      </c>
      <c r="F12" s="150">
        <f t="shared" si="0"/>
        <v>9.3041443681007516E-3</v>
      </c>
      <c r="G12" s="126"/>
    </row>
    <row r="13" spans="1:7" s="127" customFormat="1" ht="15.75" customHeight="1" x14ac:dyDescent="0.2">
      <c r="A13" s="146" t="str">
        <f>A109</f>
        <v>1.7. Vale-refeição (diário)</v>
      </c>
      <c r="B13" s="147"/>
      <c r="C13" s="148"/>
      <c r="D13" s="148"/>
      <c r="E13" s="149">
        <f>F115</f>
        <v>6037.2000000000007</v>
      </c>
      <c r="F13" s="150">
        <f t="shared" si="0"/>
        <v>3.7786802936199196E-2</v>
      </c>
      <c r="G13" s="126"/>
    </row>
    <row r="14" spans="1:7" s="127" customFormat="1" ht="15.75" customHeight="1" x14ac:dyDescent="0.2">
      <c r="A14" s="146" t="str">
        <f>A117</f>
        <v>1.8. Auxílio Alimentação (mensal)</v>
      </c>
      <c r="B14" s="147"/>
      <c r="C14" s="148"/>
      <c r="D14" s="148"/>
      <c r="E14" s="149">
        <f>F123</f>
        <v>168.94</v>
      </c>
      <c r="F14" s="150">
        <f t="shared" si="0"/>
        <v>1.0573945683498131E-3</v>
      </c>
      <c r="G14" s="126"/>
    </row>
    <row r="15" spans="1:7" s="145" customFormat="1" ht="15.75" customHeight="1" x14ac:dyDescent="0.2">
      <c r="A15" s="295" t="str">
        <f>A127</f>
        <v>2. Uniformes e Equipamentos de Proteção Individual</v>
      </c>
      <c r="B15" s="296"/>
      <c r="C15" s="296"/>
      <c r="D15" s="141"/>
      <c r="E15" s="142">
        <f>+F163</f>
        <v>2726.7</v>
      </c>
      <c r="F15" s="143">
        <f t="shared" si="0"/>
        <v>1.7066400908721649E-2</v>
      </c>
      <c r="G15" s="144"/>
    </row>
    <row r="16" spans="1:7" s="145" customFormat="1" ht="15.75" customHeight="1" x14ac:dyDescent="0.2">
      <c r="A16" s="151" t="str">
        <f>A165</f>
        <v>3. Veículos e Equipamentos</v>
      </c>
      <c r="B16" s="152"/>
      <c r="C16" s="141"/>
      <c r="D16" s="141"/>
      <c r="E16" s="142">
        <f>+F324</f>
        <v>23445.846803066666</v>
      </c>
      <c r="F16" s="143">
        <f t="shared" si="0"/>
        <v>0.14674743139531504</v>
      </c>
      <c r="G16" s="144"/>
    </row>
    <row r="17" spans="1:7" s="127" customFormat="1" ht="15.75" customHeight="1" x14ac:dyDescent="0.2">
      <c r="A17" s="153" t="str">
        <f>A167</f>
        <v>3.1. Veículo de transporte de resíduos</v>
      </c>
      <c r="B17" s="154"/>
      <c r="C17" s="148"/>
      <c r="D17" s="148"/>
      <c r="E17" s="149">
        <f>SUM(E18:E23)</f>
        <v>13042.134169733334</v>
      </c>
      <c r="F17" s="155">
        <f t="shared" si="0"/>
        <v>8.1630648933145061E-2</v>
      </c>
      <c r="G17" s="126"/>
    </row>
    <row r="18" spans="1:7" s="127" customFormat="1" ht="15.75" customHeight="1" x14ac:dyDescent="0.2">
      <c r="A18" s="153" t="str">
        <f>A169</f>
        <v>3.1.1. Depreciação</v>
      </c>
      <c r="B18" s="154"/>
      <c r="C18" s="148"/>
      <c r="D18" s="148"/>
      <c r="E18" s="149">
        <f>F183</f>
        <v>2959.8368166666664</v>
      </c>
      <c r="F18" s="155">
        <f t="shared" si="0"/>
        <v>1.8525603013763079E-2</v>
      </c>
      <c r="G18" s="126"/>
    </row>
    <row r="19" spans="1:7" s="127" customFormat="1" ht="15.75" customHeight="1" x14ac:dyDescent="0.2">
      <c r="A19" s="153" t="str">
        <f>A185</f>
        <v>3.1.2. Remuneração do Capital</v>
      </c>
      <c r="B19" s="154"/>
      <c r="C19" s="148"/>
      <c r="D19" s="148"/>
      <c r="E19" s="149">
        <f>F199</f>
        <v>1776.5272197333334</v>
      </c>
      <c r="F19" s="155">
        <f t="shared" si="0"/>
        <v>1.1119274491959402E-2</v>
      </c>
      <c r="G19" s="126"/>
    </row>
    <row r="20" spans="1:7" s="127" customFormat="1" ht="15.75" customHeight="1" x14ac:dyDescent="0.2">
      <c r="A20" s="153" t="str">
        <f>A201</f>
        <v>3.1.3. Impostos e Seguros</v>
      </c>
      <c r="B20" s="154"/>
      <c r="C20" s="148"/>
      <c r="D20" s="148"/>
      <c r="E20" s="149">
        <f>F207</f>
        <v>305.49583333333334</v>
      </c>
      <c r="F20" s="155">
        <f t="shared" si="0"/>
        <v>1.9120968084536903E-3</v>
      </c>
      <c r="G20" s="126"/>
    </row>
    <row r="21" spans="1:7" s="127" customFormat="1" ht="15.75" customHeight="1" x14ac:dyDescent="0.2">
      <c r="A21" s="153" t="str">
        <f>A209</f>
        <v>3.1.4. Consumos</v>
      </c>
      <c r="B21" s="154"/>
      <c r="C21" s="148"/>
      <c r="D21" s="148"/>
      <c r="E21" s="149">
        <f>F225</f>
        <v>5348.2743</v>
      </c>
      <c r="F21" s="155">
        <f t="shared" si="0"/>
        <v>3.3474820615987326E-2</v>
      </c>
      <c r="G21" s="126"/>
    </row>
    <row r="22" spans="1:7" s="127" customFormat="1" ht="15.75" customHeight="1" x14ac:dyDescent="0.2">
      <c r="A22" s="153" t="str">
        <f>A227</f>
        <v>3.1.5. Manutenção</v>
      </c>
      <c r="B22" s="154"/>
      <c r="C22" s="148"/>
      <c r="D22" s="148"/>
      <c r="E22" s="149">
        <f>F230</f>
        <v>1300</v>
      </c>
      <c r="F22" s="155">
        <f t="shared" si="0"/>
        <v>8.1366931387164502E-3</v>
      </c>
      <c r="G22" s="126"/>
    </row>
    <row r="23" spans="1:7" s="127" customFormat="1" ht="15.75" customHeight="1" x14ac:dyDescent="0.2">
      <c r="A23" s="153" t="str">
        <f>A232</f>
        <v>3.1.6. Pneus</v>
      </c>
      <c r="B23" s="154"/>
      <c r="C23" s="148"/>
      <c r="D23" s="148"/>
      <c r="E23" s="149">
        <f>F239</f>
        <v>1352</v>
      </c>
      <c r="F23" s="155">
        <f t="shared" si="0"/>
        <v>8.4621608642651072E-3</v>
      </c>
      <c r="G23" s="126"/>
    </row>
    <row r="24" spans="1:7" s="127" customFormat="1" ht="15.75" customHeight="1" x14ac:dyDescent="0.2">
      <c r="A24" s="153" t="str">
        <f>A241</f>
        <v>3.2. Retroescavadeira</v>
      </c>
      <c r="B24" s="154"/>
      <c r="C24" s="148"/>
      <c r="D24" s="148"/>
      <c r="E24" s="149">
        <f>SUM(E25:E30)</f>
        <v>10150.370500000001</v>
      </c>
      <c r="F24" s="155">
        <f t="shared" ref="F24:F30" si="1">IFERROR(E24/$E$35,0)</f>
        <v>6.3531115386753739E-2</v>
      </c>
      <c r="G24" s="126"/>
    </row>
    <row r="25" spans="1:7" s="127" customFormat="1" ht="15.75" customHeight="1" x14ac:dyDescent="0.2">
      <c r="A25" s="153" t="str">
        <f>A243</f>
        <v>3.2.1. Depreciação</v>
      </c>
      <c r="B25" s="154"/>
      <c r="C25" s="148"/>
      <c r="D25" s="148"/>
      <c r="E25" s="149">
        <f>F251</f>
        <v>1391.2291666666667</v>
      </c>
      <c r="F25" s="155">
        <f t="shared" si="1"/>
        <v>8.7076960113837473E-3</v>
      </c>
      <c r="G25" s="126"/>
    </row>
    <row r="26" spans="1:7" s="127" customFormat="1" ht="15.75" customHeight="1" x14ac:dyDescent="0.2">
      <c r="A26" s="153" t="str">
        <f>A253</f>
        <v>3.2.2. Remuneração do Capital</v>
      </c>
      <c r="B26" s="154"/>
      <c r="C26" s="148"/>
      <c r="D26" s="148"/>
      <c r="E26" s="149">
        <f>F261</f>
        <v>835.03133333333346</v>
      </c>
      <c r="F26" s="155">
        <f t="shared" si="1"/>
        <v>5.2264567081127559E-3</v>
      </c>
      <c r="G26" s="126"/>
    </row>
    <row r="27" spans="1:7" s="127" customFormat="1" ht="15.75" customHeight="1" x14ac:dyDescent="0.2">
      <c r="A27" s="153" t="str">
        <f>A201</f>
        <v>3.1.3. Impostos e Seguros</v>
      </c>
      <c r="B27" s="154"/>
      <c r="C27" s="148"/>
      <c r="D27" s="148"/>
      <c r="E27" s="149">
        <f>F269</f>
        <v>0</v>
      </c>
      <c r="F27" s="155">
        <f t="shared" si="1"/>
        <v>0</v>
      </c>
      <c r="G27" s="126"/>
    </row>
    <row r="28" spans="1:7" s="127" customFormat="1" ht="15.75" customHeight="1" x14ac:dyDescent="0.2">
      <c r="A28" s="153" t="str">
        <f>A209</f>
        <v>3.1.4. Consumos</v>
      </c>
      <c r="B28" s="154"/>
      <c r="C28" s="148"/>
      <c r="D28" s="148"/>
      <c r="E28" s="149">
        <f>F287</f>
        <v>5281.11</v>
      </c>
      <c r="F28" s="155">
        <f t="shared" si="1"/>
        <v>3.3054439616774484E-2</v>
      </c>
      <c r="G28" s="126"/>
    </row>
    <row r="29" spans="1:7" s="127" customFormat="1" ht="15.75" customHeight="1" x14ac:dyDescent="0.2">
      <c r="A29" s="153" t="str">
        <f>A289</f>
        <v>3.2.5. Manutenção</v>
      </c>
      <c r="B29" s="154"/>
      <c r="C29" s="148"/>
      <c r="D29" s="148"/>
      <c r="E29" s="149">
        <f>F292</f>
        <v>2043</v>
      </c>
      <c r="F29" s="155">
        <f t="shared" si="1"/>
        <v>1.2787126217229005E-2</v>
      </c>
      <c r="G29" s="126"/>
    </row>
    <row r="30" spans="1:7" s="127" customFormat="1" ht="15.75" customHeight="1" x14ac:dyDescent="0.2">
      <c r="A30" s="153" t="str">
        <f>A294</f>
        <v>3.2.6. Pneus</v>
      </c>
      <c r="B30" s="154"/>
      <c r="C30" s="148"/>
      <c r="D30" s="148"/>
      <c r="E30" s="149">
        <f>F300</f>
        <v>600</v>
      </c>
      <c r="F30" s="155">
        <f t="shared" si="1"/>
        <v>3.7553968332537458E-3</v>
      </c>
      <c r="G30" s="126"/>
    </row>
    <row r="31" spans="1:7" s="145" customFormat="1" ht="15.75" customHeight="1" x14ac:dyDescent="0.2">
      <c r="A31" s="151" t="str">
        <f>A327</f>
        <v>4. Ferramentas e Materiais de Consumo</v>
      </c>
      <c r="B31" s="152"/>
      <c r="C31" s="141"/>
      <c r="D31" s="141"/>
      <c r="E31" s="142">
        <f>+F337</f>
        <v>81.083333333333329</v>
      </c>
      <c r="F31" s="143">
        <f>IFERROR(E31/$E$35,0)</f>
        <v>5.0750015538276311E-4</v>
      </c>
      <c r="G31" s="144"/>
    </row>
    <row r="32" spans="1:7" s="145" customFormat="1" ht="15.75" customHeight="1" x14ac:dyDescent="0.2">
      <c r="A32" s="151" t="str">
        <f>A339</f>
        <v>5. Monitoramento da Frota</v>
      </c>
      <c r="B32" s="152"/>
      <c r="C32" s="141"/>
      <c r="D32" s="141"/>
      <c r="E32" s="142">
        <f>+F348</f>
        <v>78.333333333333329</v>
      </c>
      <c r="F32" s="143">
        <f>IFERROR(E32/$E$35,0)</f>
        <v>4.902879198970168E-4</v>
      </c>
      <c r="G32" s="144"/>
    </row>
    <row r="33" spans="1:7" s="145" customFormat="1" ht="15.75" customHeight="1" x14ac:dyDescent="0.2">
      <c r="A33" s="156" t="str">
        <f>A352</f>
        <v>6. Benefícios e Despesas Indiretas - BDI</v>
      </c>
      <c r="B33" s="152"/>
      <c r="C33" s="141"/>
      <c r="D33" s="141"/>
      <c r="E33" s="157">
        <f>+F358</f>
        <v>29670.994097525814</v>
      </c>
      <c r="F33" s="143">
        <f>IFERROR(E33/$E$35,0)</f>
        <v>0.18571059545556506</v>
      </c>
      <c r="G33" s="144"/>
    </row>
    <row r="34" spans="1:7" s="145" customFormat="1" ht="15.75" customHeight="1" x14ac:dyDescent="0.2">
      <c r="A34" s="158" t="str">
        <f>A360</f>
        <v>7. Destinação final</v>
      </c>
      <c r="B34" s="159"/>
      <c r="C34" s="159"/>
      <c r="D34" s="159"/>
      <c r="E34" s="160">
        <f>F365</f>
        <v>43896.299999999996</v>
      </c>
      <c r="F34" s="143">
        <f>IFERROR(E34/$E$35,0)</f>
        <v>0.27474671001926065</v>
      </c>
      <c r="G34" s="144"/>
    </row>
    <row r="35" spans="1:7" s="127" customFormat="1" ht="15.75" customHeight="1" thickBot="1" x14ac:dyDescent="0.25">
      <c r="A35" s="161" t="s">
        <v>308</v>
      </c>
      <c r="B35" s="162"/>
      <c r="C35" s="163"/>
      <c r="D35" s="163"/>
      <c r="E35" s="164">
        <f>E7+E15+E16+E31+E32+E33+E34</f>
        <v>159770.06602525912</v>
      </c>
      <c r="F35" s="165">
        <f>F7+F15+F16+F31+F32+F33+F34</f>
        <v>1.0000000000000002</v>
      </c>
      <c r="G35" s="126"/>
    </row>
    <row r="37" spans="1:7" ht="13.5" thickBot="1" x14ac:dyDescent="0.25"/>
    <row r="38" spans="1:7" s="127" customFormat="1" ht="15" customHeight="1" thickBot="1" x14ac:dyDescent="0.25">
      <c r="A38" s="306" t="s">
        <v>79</v>
      </c>
      <c r="B38" s="307"/>
      <c r="C38" s="307"/>
      <c r="D38" s="307"/>
      <c r="E38" s="308"/>
      <c r="F38" s="167"/>
      <c r="G38" s="126"/>
    </row>
    <row r="39" spans="1:7" s="127" customFormat="1" ht="15" customHeight="1" thickBot="1" x14ac:dyDescent="0.25">
      <c r="A39" s="303" t="s">
        <v>30</v>
      </c>
      <c r="B39" s="304"/>
      <c r="C39" s="304"/>
      <c r="D39" s="305"/>
      <c r="E39" s="168" t="s">
        <v>31</v>
      </c>
      <c r="F39" s="167"/>
      <c r="G39" s="126"/>
    </row>
    <row r="40" spans="1:7" s="127" customFormat="1" ht="15" customHeight="1" x14ac:dyDescent="0.2">
      <c r="A40" s="169" t="str">
        <f>+A55</f>
        <v>1.1. Separador Turno Dia</v>
      </c>
      <c r="B40" s="170"/>
      <c r="C40" s="170"/>
      <c r="D40" s="171"/>
      <c r="E40" s="172">
        <f>C62</f>
        <v>15</v>
      </c>
      <c r="F40" s="167"/>
      <c r="G40" s="126"/>
    </row>
    <row r="41" spans="1:7" s="127" customFormat="1" ht="15" customHeight="1" x14ac:dyDescent="0.2">
      <c r="A41" s="173" t="str">
        <f>+A65</f>
        <v>1.2. Operador Turno Dia</v>
      </c>
      <c r="B41" s="174"/>
      <c r="C41" s="174"/>
      <c r="D41" s="175"/>
      <c r="E41" s="176">
        <f>C74</f>
        <v>1</v>
      </c>
      <c r="F41" s="167"/>
      <c r="G41" s="126"/>
    </row>
    <row r="42" spans="1:7" s="127" customFormat="1" ht="15" customHeight="1" x14ac:dyDescent="0.2">
      <c r="A42" s="173" t="str">
        <f>+A77</f>
        <v>1.3. Motorista Turno Dia</v>
      </c>
      <c r="B42" s="174"/>
      <c r="C42" s="174"/>
      <c r="D42" s="175"/>
      <c r="E42" s="176">
        <f>C86</f>
        <v>1</v>
      </c>
      <c r="F42" s="167"/>
      <c r="G42" s="126"/>
    </row>
    <row r="43" spans="1:7" s="127" customFormat="1" ht="15" customHeight="1" x14ac:dyDescent="0.2">
      <c r="A43" s="173" t="str">
        <f>+A89</f>
        <v>1.4. Administração</v>
      </c>
      <c r="B43" s="174"/>
      <c r="C43" s="174"/>
      <c r="D43" s="175"/>
      <c r="E43" s="176">
        <f>C96</f>
        <v>1</v>
      </c>
      <c r="F43" s="167"/>
      <c r="G43" s="126"/>
    </row>
    <row r="44" spans="1:7" s="127" customFormat="1" ht="15" customHeight="1" thickBot="1" x14ac:dyDescent="0.25">
      <c r="A44" s="177" t="s">
        <v>47</v>
      </c>
      <c r="B44" s="178"/>
      <c r="C44" s="178"/>
      <c r="D44" s="179"/>
      <c r="E44" s="180">
        <f>SUM(E40:E43)</f>
        <v>18</v>
      </c>
      <c r="F44" s="167"/>
      <c r="G44" s="126"/>
    </row>
    <row r="45" spans="1:7" s="127" customFormat="1" ht="15" customHeight="1" thickBot="1" x14ac:dyDescent="0.25">
      <c r="A45" s="181"/>
      <c r="B45" s="182"/>
      <c r="C45" s="122"/>
      <c r="D45" s="122"/>
      <c r="E45" s="183"/>
      <c r="F45" s="167"/>
      <c r="G45" s="126"/>
    </row>
    <row r="46" spans="1:7" s="127" customFormat="1" ht="15" customHeight="1" x14ac:dyDescent="0.2">
      <c r="A46" s="293" t="s">
        <v>45</v>
      </c>
      <c r="B46" s="294"/>
      <c r="C46" s="294"/>
      <c r="D46" s="294"/>
      <c r="E46" s="168" t="s">
        <v>31</v>
      </c>
      <c r="F46" s="166"/>
      <c r="G46" s="126"/>
    </row>
    <row r="47" spans="1:7" s="127" customFormat="1" ht="15" customHeight="1" x14ac:dyDescent="0.2">
      <c r="A47" s="184" t="str">
        <f>+A167</f>
        <v>3.1. Veículo de transporte de resíduos</v>
      </c>
      <c r="B47" s="184"/>
      <c r="C47" s="184"/>
      <c r="D47" s="185"/>
      <c r="E47" s="186">
        <f>C182</f>
        <v>1</v>
      </c>
      <c r="F47" s="166"/>
      <c r="G47" s="126"/>
    </row>
    <row r="48" spans="1:7" s="127" customFormat="1" ht="15" customHeight="1" x14ac:dyDescent="0.2">
      <c r="A48" s="187" t="str">
        <f>A241</f>
        <v>3.2. Retroescavadeira</v>
      </c>
      <c r="B48" s="184"/>
      <c r="C48" s="184"/>
      <c r="D48" s="185"/>
      <c r="E48" s="186">
        <v>1</v>
      </c>
      <c r="F48" s="166"/>
      <c r="G48" s="126"/>
    </row>
    <row r="49" spans="1:7" s="127" customFormat="1" ht="15" customHeight="1" x14ac:dyDescent="0.2">
      <c r="A49" s="188" t="s">
        <v>297</v>
      </c>
      <c r="B49" s="188"/>
      <c r="C49" s="188"/>
      <c r="D49" s="189"/>
      <c r="E49" s="190">
        <f>SUM(E48+E47)</f>
        <v>2</v>
      </c>
      <c r="F49" s="166"/>
      <c r="G49" s="126"/>
    </row>
    <row r="50" spans="1:7" s="127" customFormat="1" ht="13.5" thickBot="1" x14ac:dyDescent="0.25">
      <c r="A50" s="122"/>
      <c r="B50" s="122"/>
      <c r="C50" s="122"/>
      <c r="D50" s="191"/>
      <c r="E50" s="192"/>
      <c r="F50" s="166"/>
      <c r="G50" s="126"/>
    </row>
    <row r="51" spans="1:7" s="145" customFormat="1" ht="15.75" customHeight="1" thickBot="1" x14ac:dyDescent="0.25">
      <c r="A51" s="193" t="s">
        <v>173</v>
      </c>
      <c r="B51" s="194">
        <v>1</v>
      </c>
      <c r="C51" s="120"/>
      <c r="D51" s="195"/>
      <c r="E51" s="196"/>
      <c r="G51" s="144"/>
    </row>
    <row r="52" spans="1:7" s="127" customFormat="1" ht="15.75" customHeight="1" x14ac:dyDescent="0.2">
      <c r="A52" s="122"/>
      <c r="B52" s="122"/>
      <c r="C52" s="122"/>
      <c r="D52" s="191"/>
      <c r="E52" s="192"/>
      <c r="F52" s="166"/>
      <c r="G52" s="126"/>
    </row>
    <row r="53" spans="1:7" ht="13.15" customHeight="1" x14ac:dyDescent="0.2">
      <c r="A53" s="145" t="s">
        <v>37</v>
      </c>
    </row>
    <row r="54" spans="1:7" ht="11.25" customHeight="1" x14ac:dyDescent="0.2"/>
    <row r="55" spans="1:7" ht="13.9" customHeight="1" thickBot="1" x14ac:dyDescent="0.25">
      <c r="A55" s="124" t="s">
        <v>242</v>
      </c>
    </row>
    <row r="56" spans="1:7" ht="13.9" customHeight="1" thickBot="1" x14ac:dyDescent="0.25">
      <c r="A56" s="197" t="s">
        <v>51</v>
      </c>
      <c r="B56" s="198" t="s">
        <v>52</v>
      </c>
      <c r="C56" s="198" t="s">
        <v>31</v>
      </c>
      <c r="D56" s="199" t="s">
        <v>214</v>
      </c>
      <c r="E56" s="199" t="s">
        <v>53</v>
      </c>
      <c r="F56" s="200" t="s">
        <v>54</v>
      </c>
    </row>
    <row r="57" spans="1:7" ht="13.15" customHeight="1" x14ac:dyDescent="0.2">
      <c r="A57" s="201" t="s">
        <v>193</v>
      </c>
      <c r="B57" s="202" t="s">
        <v>6</v>
      </c>
      <c r="C57" s="202">
        <v>1</v>
      </c>
      <c r="D57" s="203">
        <v>1154.3900000000001</v>
      </c>
      <c r="E57" s="203">
        <f>C57*D57</f>
        <v>1154.3900000000001</v>
      </c>
    </row>
    <row r="58" spans="1:7" x14ac:dyDescent="0.2">
      <c r="A58" s="185" t="s">
        <v>0</v>
      </c>
      <c r="B58" s="204" t="s">
        <v>1</v>
      </c>
      <c r="C58" s="204">
        <v>40</v>
      </c>
      <c r="D58" s="205">
        <f>SUM(E57:E57)</f>
        <v>1154.3900000000001</v>
      </c>
      <c r="E58" s="205">
        <f>C58*D58/100</f>
        <v>461.75600000000009</v>
      </c>
    </row>
    <row r="59" spans="1:7" x14ac:dyDescent="0.2">
      <c r="A59" s="206" t="s">
        <v>2</v>
      </c>
      <c r="B59" s="207"/>
      <c r="C59" s="207"/>
      <c r="D59" s="208"/>
      <c r="E59" s="209">
        <f>SUM(E57:E58)</f>
        <v>1616.1460000000002</v>
      </c>
    </row>
    <row r="60" spans="1:7" x14ac:dyDescent="0.2">
      <c r="A60" s="185" t="s">
        <v>3</v>
      </c>
      <c r="B60" s="204" t="s">
        <v>1</v>
      </c>
      <c r="C60" s="205">
        <f>'2.Encargos Sociais'!$C$34*100</f>
        <v>74.95</v>
      </c>
      <c r="D60" s="205">
        <f>E59</f>
        <v>1616.1460000000002</v>
      </c>
      <c r="E60" s="205">
        <f>D60*C60/100</f>
        <v>1211.3014270000001</v>
      </c>
    </row>
    <row r="61" spans="1:7" x14ac:dyDescent="0.2">
      <c r="A61" s="206" t="s">
        <v>58</v>
      </c>
      <c r="B61" s="207"/>
      <c r="C61" s="207"/>
      <c r="D61" s="208"/>
      <c r="E61" s="209">
        <f>E59+E60</f>
        <v>2827.4474270000001</v>
      </c>
    </row>
    <row r="62" spans="1:7" ht="13.5" thickBot="1" x14ac:dyDescent="0.25">
      <c r="A62" s="185" t="s">
        <v>4</v>
      </c>
      <c r="B62" s="204" t="s">
        <v>5</v>
      </c>
      <c r="C62" s="204">
        <v>15</v>
      </c>
      <c r="D62" s="205">
        <f>E61</f>
        <v>2827.4474270000001</v>
      </c>
      <c r="E62" s="205">
        <f>C62*D62</f>
        <v>42411.711405000002</v>
      </c>
      <c r="G62" s="126"/>
    </row>
    <row r="63" spans="1:7" ht="13.9" customHeight="1" thickBot="1" x14ac:dyDescent="0.25">
      <c r="D63" s="210" t="s">
        <v>172</v>
      </c>
      <c r="E63" s="184">
        <f>$B$51</f>
        <v>1</v>
      </c>
      <c r="F63" s="211">
        <f>E62*E63</f>
        <v>42411.711405000002</v>
      </c>
      <c r="G63" s="126"/>
    </row>
    <row r="64" spans="1:7" ht="11.25" customHeight="1" x14ac:dyDescent="0.2"/>
    <row r="65" spans="1:7" ht="13.5" thickBot="1" x14ac:dyDescent="0.25">
      <c r="A65" s="124" t="s">
        <v>243</v>
      </c>
    </row>
    <row r="66" spans="1:7" ht="13.5" thickBot="1" x14ac:dyDescent="0.25">
      <c r="A66" s="197" t="s">
        <v>51</v>
      </c>
      <c r="B66" s="198" t="s">
        <v>52</v>
      </c>
      <c r="C66" s="198" t="s">
        <v>31</v>
      </c>
      <c r="D66" s="199" t="s">
        <v>214</v>
      </c>
      <c r="E66" s="199" t="s">
        <v>53</v>
      </c>
      <c r="F66" s="200" t="s">
        <v>54</v>
      </c>
    </row>
    <row r="67" spans="1:7" x14ac:dyDescent="0.2">
      <c r="A67" s="201" t="s">
        <v>195</v>
      </c>
      <c r="B67" s="202" t="s">
        <v>6</v>
      </c>
      <c r="C67" s="202">
        <v>1</v>
      </c>
      <c r="D67" s="203">
        <v>1480.29</v>
      </c>
      <c r="E67" s="203">
        <f>C67*D67</f>
        <v>1480.29</v>
      </c>
    </row>
    <row r="68" spans="1:7" x14ac:dyDescent="0.2">
      <c r="A68" s="201" t="s">
        <v>196</v>
      </c>
      <c r="B68" s="202" t="s">
        <v>6</v>
      </c>
      <c r="C68" s="202">
        <v>1</v>
      </c>
      <c r="D68" s="203">
        <v>954</v>
      </c>
      <c r="E68" s="203"/>
    </row>
    <row r="69" spans="1:7" ht="13.15" customHeight="1" x14ac:dyDescent="0.2">
      <c r="A69" s="185" t="s">
        <v>194</v>
      </c>
      <c r="B69" s="204"/>
      <c r="C69" s="212">
        <v>2</v>
      </c>
      <c r="D69" s="205"/>
      <c r="E69" s="205"/>
    </row>
    <row r="70" spans="1:7" x14ac:dyDescent="0.2">
      <c r="A70" s="185" t="s">
        <v>0</v>
      </c>
      <c r="B70" s="204" t="s">
        <v>1</v>
      </c>
      <c r="C70" s="204">
        <v>40</v>
      </c>
      <c r="D70" s="205">
        <f>IF(C69=1,SUM(E67:E68),IF(C69=2,(SUM(E67:E68))*D68/D67,0))</f>
        <v>954</v>
      </c>
      <c r="E70" s="205">
        <f>C70*D70/100</f>
        <v>381.6</v>
      </c>
    </row>
    <row r="71" spans="1:7" x14ac:dyDescent="0.2">
      <c r="A71" s="189" t="s">
        <v>2</v>
      </c>
      <c r="B71" s="207"/>
      <c r="C71" s="207"/>
      <c r="D71" s="208"/>
      <c r="E71" s="213">
        <f>SUM(E67:E70)</f>
        <v>1861.8899999999999</v>
      </c>
      <c r="F71" s="144"/>
    </row>
    <row r="72" spans="1:7" x14ac:dyDescent="0.2">
      <c r="A72" s="185" t="s">
        <v>3</v>
      </c>
      <c r="B72" s="204" t="s">
        <v>1</v>
      </c>
      <c r="C72" s="205">
        <f>'2.Encargos Sociais'!$C$34*100</f>
        <v>74.95</v>
      </c>
      <c r="D72" s="205">
        <f>E71</f>
        <v>1861.8899999999999</v>
      </c>
      <c r="E72" s="205">
        <f>D72*C72/100</f>
        <v>1395.486555</v>
      </c>
    </row>
    <row r="73" spans="1:7" x14ac:dyDescent="0.2">
      <c r="A73" s="189" t="s">
        <v>245</v>
      </c>
      <c r="B73" s="214"/>
      <c r="C73" s="214"/>
      <c r="D73" s="215"/>
      <c r="E73" s="213">
        <f>E71+E72</f>
        <v>3257.3765549999998</v>
      </c>
      <c r="F73" s="144"/>
    </row>
    <row r="74" spans="1:7" ht="13.5" thickBot="1" x14ac:dyDescent="0.25">
      <c r="A74" s="185" t="s">
        <v>4</v>
      </c>
      <c r="B74" s="204" t="s">
        <v>5</v>
      </c>
      <c r="C74" s="204">
        <v>1</v>
      </c>
      <c r="D74" s="205">
        <f>E73</f>
        <v>3257.3765549999998</v>
      </c>
      <c r="E74" s="205">
        <f>C74*D74</f>
        <v>3257.3765549999998</v>
      </c>
    </row>
    <row r="75" spans="1:7" ht="13.5" thickBot="1" x14ac:dyDescent="0.25">
      <c r="D75" s="210" t="s">
        <v>172</v>
      </c>
      <c r="E75" s="184">
        <f>$B$51</f>
        <v>1</v>
      </c>
      <c r="F75" s="211">
        <f>E74*E75</f>
        <v>3257.3765549999998</v>
      </c>
    </row>
    <row r="76" spans="1:7" ht="11.25" customHeight="1" x14ac:dyDescent="0.2"/>
    <row r="77" spans="1:7" ht="13.5" thickBot="1" x14ac:dyDescent="0.25">
      <c r="A77" s="124" t="s">
        <v>244</v>
      </c>
    </row>
    <row r="78" spans="1:7" s="216" customFormat="1" ht="13.15" customHeight="1" thickBot="1" x14ac:dyDescent="0.25">
      <c r="A78" s="197" t="s">
        <v>51</v>
      </c>
      <c r="B78" s="198" t="s">
        <v>52</v>
      </c>
      <c r="C78" s="198" t="s">
        <v>31</v>
      </c>
      <c r="D78" s="199" t="s">
        <v>214</v>
      </c>
      <c r="E78" s="199" t="s">
        <v>53</v>
      </c>
      <c r="F78" s="200" t="s">
        <v>54</v>
      </c>
      <c r="G78" s="167"/>
    </row>
    <row r="79" spans="1:7" x14ac:dyDescent="0.2">
      <c r="A79" s="201" t="s">
        <v>195</v>
      </c>
      <c r="B79" s="202" t="s">
        <v>6</v>
      </c>
      <c r="C79" s="202">
        <v>1</v>
      </c>
      <c r="D79" s="203">
        <v>1676.6</v>
      </c>
      <c r="E79" s="203">
        <f>C79*D79</f>
        <v>1676.6</v>
      </c>
    </row>
    <row r="80" spans="1:7" x14ac:dyDescent="0.2">
      <c r="A80" s="201" t="s">
        <v>196</v>
      </c>
      <c r="B80" s="202" t="s">
        <v>6</v>
      </c>
      <c r="C80" s="202">
        <v>1</v>
      </c>
      <c r="D80" s="203">
        <v>954</v>
      </c>
      <c r="E80" s="203"/>
    </row>
    <row r="81" spans="1:7" x14ac:dyDescent="0.2">
      <c r="A81" s="185" t="s">
        <v>194</v>
      </c>
      <c r="B81" s="204"/>
      <c r="C81" s="212">
        <v>2</v>
      </c>
      <c r="D81" s="205"/>
      <c r="E81" s="205"/>
    </row>
    <row r="82" spans="1:7" x14ac:dyDescent="0.2">
      <c r="A82" s="185" t="s">
        <v>0</v>
      </c>
      <c r="B82" s="204" t="s">
        <v>1</v>
      </c>
      <c r="C82" s="204">
        <v>40</v>
      </c>
      <c r="D82" s="205">
        <f>IF(C81=1,SUM(E79:E80),IF(C81=2,(SUM(E79:E80))*D80/D79,0))</f>
        <v>954</v>
      </c>
      <c r="E82" s="205">
        <f>C82*D82/100</f>
        <v>381.6</v>
      </c>
    </row>
    <row r="83" spans="1:7" s="145" customFormat="1" x14ac:dyDescent="0.2">
      <c r="A83" s="189" t="s">
        <v>2</v>
      </c>
      <c r="B83" s="207"/>
      <c r="C83" s="207"/>
      <c r="D83" s="208"/>
      <c r="E83" s="213">
        <f>SUM(E79:E82)</f>
        <v>2058.1999999999998</v>
      </c>
      <c r="F83" s="144"/>
      <c r="G83" s="144"/>
    </row>
    <row r="84" spans="1:7" x14ac:dyDescent="0.2">
      <c r="A84" s="185" t="s">
        <v>3</v>
      </c>
      <c r="B84" s="204" t="s">
        <v>1</v>
      </c>
      <c r="C84" s="205">
        <f>'2.Encargos Sociais'!$C$34*100</f>
        <v>74.95</v>
      </c>
      <c r="D84" s="205">
        <f>E83</f>
        <v>2058.1999999999998</v>
      </c>
      <c r="E84" s="205">
        <f>D84*C84/100</f>
        <v>1542.6208999999999</v>
      </c>
    </row>
    <row r="85" spans="1:7" s="145" customFormat="1" x14ac:dyDescent="0.2">
      <c r="A85" s="189" t="s">
        <v>230</v>
      </c>
      <c r="B85" s="214"/>
      <c r="C85" s="214"/>
      <c r="D85" s="215"/>
      <c r="E85" s="213">
        <f>E83+E84</f>
        <v>3600.8208999999997</v>
      </c>
      <c r="F85" s="144"/>
      <c r="G85" s="144"/>
    </row>
    <row r="86" spans="1:7" ht="13.5" thickBot="1" x14ac:dyDescent="0.25">
      <c r="A86" s="185" t="s">
        <v>4</v>
      </c>
      <c r="B86" s="204" t="s">
        <v>5</v>
      </c>
      <c r="C86" s="204">
        <v>1</v>
      </c>
      <c r="D86" s="205">
        <f>E85</f>
        <v>3600.8208999999997</v>
      </c>
      <c r="E86" s="205">
        <f>C86*D86</f>
        <v>3600.8208999999997</v>
      </c>
    </row>
    <row r="87" spans="1:7" ht="13.5" thickBot="1" x14ac:dyDescent="0.25">
      <c r="D87" s="210" t="s">
        <v>172</v>
      </c>
      <c r="E87" s="184">
        <f>$B$51</f>
        <v>1</v>
      </c>
      <c r="F87" s="211">
        <f>E86*E87</f>
        <v>3600.8208999999997</v>
      </c>
    </row>
    <row r="88" spans="1:7" ht="11.25" customHeight="1" x14ac:dyDescent="0.2"/>
    <row r="89" spans="1:7" ht="13.5" thickBot="1" x14ac:dyDescent="0.25">
      <c r="A89" s="124" t="s">
        <v>246</v>
      </c>
    </row>
    <row r="90" spans="1:7" ht="13.5" thickBot="1" x14ac:dyDescent="0.25">
      <c r="A90" s="197" t="s">
        <v>51</v>
      </c>
      <c r="B90" s="198" t="s">
        <v>52</v>
      </c>
      <c r="C90" s="198" t="s">
        <v>31</v>
      </c>
      <c r="D90" s="199" t="s">
        <v>214</v>
      </c>
      <c r="E90" s="199" t="s">
        <v>53</v>
      </c>
      <c r="F90" s="200" t="s">
        <v>54</v>
      </c>
    </row>
    <row r="91" spans="1:7" x14ac:dyDescent="0.2">
      <c r="A91" s="201" t="s">
        <v>195</v>
      </c>
      <c r="B91" s="202" t="s">
        <v>6</v>
      </c>
      <c r="C91" s="202">
        <v>1</v>
      </c>
      <c r="D91" s="203">
        <v>1385.27</v>
      </c>
      <c r="E91" s="203">
        <f>C91*D91</f>
        <v>1385.27</v>
      </c>
    </row>
    <row r="92" spans="1:7" x14ac:dyDescent="0.2">
      <c r="A92" s="185" t="s">
        <v>0</v>
      </c>
      <c r="B92" s="204" t="s">
        <v>1</v>
      </c>
      <c r="C92" s="204">
        <v>20</v>
      </c>
      <c r="D92" s="205">
        <f>D91</f>
        <v>1385.27</v>
      </c>
      <c r="E92" s="205">
        <f>C92*D92/100</f>
        <v>277.05400000000003</v>
      </c>
    </row>
    <row r="93" spans="1:7" x14ac:dyDescent="0.2">
      <c r="A93" s="189" t="s">
        <v>2</v>
      </c>
      <c r="B93" s="207"/>
      <c r="C93" s="207"/>
      <c r="D93" s="208"/>
      <c r="E93" s="213">
        <f>SUM(E91:E92)</f>
        <v>1662.3240000000001</v>
      </c>
      <c r="F93" s="144"/>
      <c r="G93" s="167" t="s">
        <v>226</v>
      </c>
    </row>
    <row r="94" spans="1:7" x14ac:dyDescent="0.2">
      <c r="A94" s="185" t="s">
        <v>3</v>
      </c>
      <c r="B94" s="204" t="s">
        <v>1</v>
      </c>
      <c r="C94" s="205">
        <f>'2.Encargos Sociais'!$C$34*100</f>
        <v>74.95</v>
      </c>
      <c r="D94" s="205">
        <f>E93</f>
        <v>1662.3240000000001</v>
      </c>
      <c r="E94" s="205">
        <f>D94*C94/100</f>
        <v>1245.9118380000002</v>
      </c>
      <c r="G94" s="167" t="s">
        <v>227</v>
      </c>
    </row>
    <row r="95" spans="1:7" x14ac:dyDescent="0.2">
      <c r="A95" s="189" t="s">
        <v>247</v>
      </c>
      <c r="B95" s="214"/>
      <c r="C95" s="214"/>
      <c r="D95" s="215"/>
      <c r="E95" s="213">
        <f>E93+E94</f>
        <v>2908.2358380000005</v>
      </c>
      <c r="F95" s="144"/>
      <c r="G95" s="167" t="s">
        <v>227</v>
      </c>
    </row>
    <row r="96" spans="1:7" ht="13.5" thickBot="1" x14ac:dyDescent="0.25">
      <c r="A96" s="185" t="s">
        <v>4</v>
      </c>
      <c r="B96" s="204" t="s">
        <v>5</v>
      </c>
      <c r="C96" s="204">
        <v>1</v>
      </c>
      <c r="D96" s="205">
        <f>E95</f>
        <v>2908.2358380000005</v>
      </c>
      <c r="E96" s="205">
        <f>C96*D96</f>
        <v>2908.2358380000005</v>
      </c>
      <c r="G96" s="167" t="s">
        <v>228</v>
      </c>
    </row>
    <row r="97" spans="1:7" ht="13.5" thickBot="1" x14ac:dyDescent="0.25">
      <c r="D97" s="210" t="s">
        <v>172</v>
      </c>
      <c r="E97" s="184">
        <f>$B$51</f>
        <v>1</v>
      </c>
      <c r="F97" s="211">
        <f>E96*E97</f>
        <v>2908.2358380000005</v>
      </c>
      <c r="G97" s="167" t="s">
        <v>229</v>
      </c>
    </row>
    <row r="98" spans="1:7" x14ac:dyDescent="0.2">
      <c r="A98" s="191"/>
      <c r="B98" s="217"/>
      <c r="C98" s="218"/>
      <c r="D98" s="218"/>
      <c r="E98" s="218"/>
      <c r="G98" s="167" t="s">
        <v>229</v>
      </c>
    </row>
    <row r="99" spans="1:7" ht="13.5" thickBot="1" x14ac:dyDescent="0.25">
      <c r="A99" s="124" t="s">
        <v>251</v>
      </c>
      <c r="B99" s="219"/>
      <c r="C99" s="124"/>
      <c r="D99" s="124"/>
      <c r="E99" s="124"/>
      <c r="F99" s="220"/>
    </row>
    <row r="100" spans="1:7" ht="13.5" thickBot="1" x14ac:dyDescent="0.25">
      <c r="A100" s="197" t="s">
        <v>51</v>
      </c>
      <c r="B100" s="198" t="s">
        <v>52</v>
      </c>
      <c r="C100" s="198" t="s">
        <v>31</v>
      </c>
      <c r="D100" s="199" t="s">
        <v>214</v>
      </c>
      <c r="E100" s="199" t="s">
        <v>53</v>
      </c>
      <c r="F100" s="200" t="s">
        <v>54</v>
      </c>
    </row>
    <row r="101" spans="1:7" x14ac:dyDescent="0.2">
      <c r="A101" s="221" t="s">
        <v>248</v>
      </c>
      <c r="B101" s="222" t="s">
        <v>26</v>
      </c>
      <c r="C101" s="223">
        <v>1</v>
      </c>
      <c r="D101" s="220">
        <v>3.5</v>
      </c>
      <c r="E101" s="224"/>
      <c r="F101" s="220"/>
    </row>
    <row r="102" spans="1:7" x14ac:dyDescent="0.2">
      <c r="A102" s="221" t="s">
        <v>249</v>
      </c>
      <c r="B102" s="222" t="s">
        <v>76</v>
      </c>
      <c r="C102" s="124">
        <v>26</v>
      </c>
      <c r="D102" s="224"/>
      <c r="E102" s="224"/>
      <c r="F102" s="220"/>
    </row>
    <row r="103" spans="1:7" x14ac:dyDescent="0.2">
      <c r="A103" s="221" t="str">
        <f>A55</f>
        <v>1.1. Separador Turno Dia</v>
      </c>
      <c r="B103" s="222" t="s">
        <v>250</v>
      </c>
      <c r="C103" s="225">
        <f>$C$102*2*(C62)</f>
        <v>780</v>
      </c>
      <c r="D103" s="226">
        <f>((($C$102*2*$D$101)-(E59*0.06))/($C$102*2))</f>
        <v>1.6352161538461538</v>
      </c>
      <c r="E103" s="224">
        <f>IFERROR(C103*D103,"-")</f>
        <v>1275.4685999999999</v>
      </c>
      <c r="F103" s="220"/>
    </row>
    <row r="104" spans="1:7" x14ac:dyDescent="0.2">
      <c r="A104" s="227" t="str">
        <f>A112</f>
        <v>1.2. Operador Turno Dia</v>
      </c>
      <c r="B104" s="222" t="s">
        <v>250</v>
      </c>
      <c r="C104" s="225">
        <f>$C$102*2*(C74)</f>
        <v>52</v>
      </c>
      <c r="D104" s="226">
        <f>((($C$102*2*$D$101)-(E71*0.06))/($C$102*2))</f>
        <v>1.3516653846153848</v>
      </c>
      <c r="E104" s="224">
        <f t="shared" ref="E104:E106" si="2">IFERROR(C104*D104,"-")</f>
        <v>70.286600000000007</v>
      </c>
      <c r="F104" s="220"/>
    </row>
    <row r="105" spans="1:7" x14ac:dyDescent="0.2">
      <c r="A105" s="227" t="str">
        <f>A113</f>
        <v>1.3. Motorista Turno Dia</v>
      </c>
      <c r="B105" s="222" t="s">
        <v>250</v>
      </c>
      <c r="C105" s="225">
        <f>$C$102*2*(C86)</f>
        <v>52</v>
      </c>
      <c r="D105" s="226">
        <f>((($C$102*2*$D$101)-(E83*0.06))/($C$102*2))</f>
        <v>1.1251538461538464</v>
      </c>
      <c r="E105" s="224">
        <f t="shared" si="2"/>
        <v>58.50800000000001</v>
      </c>
      <c r="F105" s="220"/>
    </row>
    <row r="106" spans="1:7" x14ac:dyDescent="0.2">
      <c r="A106" s="227" t="str">
        <f>A114</f>
        <v>1.4. Administração</v>
      </c>
      <c r="B106" s="222" t="s">
        <v>250</v>
      </c>
      <c r="C106" s="225">
        <f>$C$102*2*(C96)</f>
        <v>52</v>
      </c>
      <c r="D106" s="226">
        <f>((($C$102*2*$D$101)-(E93*0.06))/($C$102*2))</f>
        <v>1.5819338461538461</v>
      </c>
      <c r="E106" s="224">
        <f t="shared" si="2"/>
        <v>82.260559999999998</v>
      </c>
      <c r="F106" s="220"/>
    </row>
    <row r="107" spans="1:7" x14ac:dyDescent="0.2">
      <c r="A107" s="124"/>
      <c r="B107" s="124"/>
      <c r="C107" s="124"/>
      <c r="D107" s="220"/>
      <c r="E107" s="220"/>
      <c r="F107" s="188">
        <f>SUM(E103:E106)</f>
        <v>1486.5237599999998</v>
      </c>
      <c r="G107" s="166"/>
    </row>
    <row r="108" spans="1:7" x14ac:dyDescent="0.2">
      <c r="A108" s="124"/>
      <c r="B108" s="124"/>
      <c r="C108" s="124"/>
      <c r="D108" s="220"/>
      <c r="E108" s="220"/>
      <c r="F108" s="120"/>
      <c r="G108" s="166"/>
    </row>
    <row r="109" spans="1:7" ht="13.5" thickBot="1" x14ac:dyDescent="0.25">
      <c r="A109" s="124" t="s">
        <v>252</v>
      </c>
      <c r="B109" s="124"/>
      <c r="C109" s="124"/>
      <c r="D109" s="220"/>
      <c r="E109" s="220"/>
      <c r="F109" s="123"/>
      <c r="G109" s="166"/>
    </row>
    <row r="110" spans="1:7" ht="13.5" thickBot="1" x14ac:dyDescent="0.25">
      <c r="A110" s="197" t="s">
        <v>51</v>
      </c>
      <c r="B110" s="198" t="s">
        <v>52</v>
      </c>
      <c r="C110" s="198" t="s">
        <v>31</v>
      </c>
      <c r="D110" s="199" t="s">
        <v>214</v>
      </c>
      <c r="E110" s="199" t="s">
        <v>53</v>
      </c>
      <c r="F110" s="228" t="s">
        <v>54</v>
      </c>
      <c r="G110" s="166"/>
    </row>
    <row r="111" spans="1:7" x14ac:dyDescent="0.2">
      <c r="A111" s="185" t="str">
        <f>A55</f>
        <v>1.1. Separador Turno Dia</v>
      </c>
      <c r="B111" s="204" t="s">
        <v>7</v>
      </c>
      <c r="C111" s="229">
        <f>E40*$C$102</f>
        <v>390</v>
      </c>
      <c r="D111" s="230">
        <v>16</v>
      </c>
      <c r="E111" s="184">
        <f>(C111*D111)-((C111*D111)*0.18)</f>
        <v>5116.8</v>
      </c>
      <c r="F111" s="120"/>
      <c r="G111" s="166"/>
    </row>
    <row r="112" spans="1:7" x14ac:dyDescent="0.2">
      <c r="A112" s="185" t="str">
        <f>A65</f>
        <v>1.2. Operador Turno Dia</v>
      </c>
      <c r="B112" s="204" t="s">
        <v>7</v>
      </c>
      <c r="C112" s="229">
        <f>E41*$C$102</f>
        <v>26</v>
      </c>
      <c r="D112" s="230">
        <v>11.14</v>
      </c>
      <c r="E112" s="184">
        <f t="shared" ref="E112:E113" si="3">C112*D112</f>
        <v>289.64</v>
      </c>
      <c r="F112" s="120"/>
      <c r="G112" s="166"/>
    </row>
    <row r="113" spans="1:7" x14ac:dyDescent="0.2">
      <c r="A113" s="185" t="str">
        <f>A77</f>
        <v>1.3. Motorista Turno Dia</v>
      </c>
      <c r="B113" s="204" t="s">
        <v>7</v>
      </c>
      <c r="C113" s="229">
        <f>E42*$C$102</f>
        <v>26</v>
      </c>
      <c r="D113" s="230">
        <v>11.14</v>
      </c>
      <c r="E113" s="184">
        <f t="shared" si="3"/>
        <v>289.64</v>
      </c>
      <c r="F113" s="120"/>
      <c r="G113" s="166"/>
    </row>
    <row r="114" spans="1:7" ht="13.5" thickBot="1" x14ac:dyDescent="0.25">
      <c r="A114" s="185" t="str">
        <f>A89</f>
        <v>1.4. Administração</v>
      </c>
      <c r="B114" s="204" t="s">
        <v>7</v>
      </c>
      <c r="C114" s="229">
        <f>E43*$C$102</f>
        <v>26</v>
      </c>
      <c r="D114" s="230">
        <v>16</v>
      </c>
      <c r="E114" s="184">
        <f>(C114*D114)-((C114*D114)*0.18)</f>
        <v>341.12</v>
      </c>
      <c r="F114" s="120"/>
      <c r="G114" s="166"/>
    </row>
    <row r="115" spans="1:7" ht="13.5" thickBot="1" x14ac:dyDescent="0.25">
      <c r="F115" s="231">
        <f>SUM(E111:E114)</f>
        <v>6037.2000000000007</v>
      </c>
      <c r="G115" s="166"/>
    </row>
    <row r="116" spans="1:7" x14ac:dyDescent="0.2">
      <c r="G116" s="166"/>
    </row>
    <row r="117" spans="1:7" ht="13.5" thickBot="1" x14ac:dyDescent="0.25">
      <c r="A117" s="124" t="s">
        <v>253</v>
      </c>
      <c r="F117" s="120"/>
      <c r="G117" s="166"/>
    </row>
    <row r="118" spans="1:7" ht="13.5" thickBot="1" x14ac:dyDescent="0.25">
      <c r="A118" s="197" t="s">
        <v>51</v>
      </c>
      <c r="B118" s="198" t="s">
        <v>52</v>
      </c>
      <c r="C118" s="198" t="s">
        <v>31</v>
      </c>
      <c r="D118" s="199" t="s">
        <v>214</v>
      </c>
      <c r="E118" s="199" t="s">
        <v>53</v>
      </c>
      <c r="F118" s="200" t="s">
        <v>54</v>
      </c>
      <c r="G118" s="166"/>
    </row>
    <row r="119" spans="1:7" x14ac:dyDescent="0.2">
      <c r="A119" s="185" t="str">
        <f>+A111</f>
        <v>1.1. Separador Turno Dia</v>
      </c>
      <c r="B119" s="204" t="s">
        <v>7</v>
      </c>
      <c r="C119" s="229">
        <f>E40</f>
        <v>15</v>
      </c>
      <c r="D119" s="232" t="s">
        <v>254</v>
      </c>
      <c r="E119" s="224" t="s">
        <v>254</v>
      </c>
      <c r="F119" s="120"/>
      <c r="G119" s="166"/>
    </row>
    <row r="120" spans="1:7" x14ac:dyDescent="0.2">
      <c r="A120" s="185" t="str">
        <f>+A112</f>
        <v>1.2. Operador Turno Dia</v>
      </c>
      <c r="B120" s="204" t="s">
        <v>7</v>
      </c>
      <c r="C120" s="229">
        <f>E41</f>
        <v>1</v>
      </c>
      <c r="D120" s="232">
        <v>84.47</v>
      </c>
      <c r="E120" s="184">
        <f t="shared" ref="E120:E121" si="4">C120*D120</f>
        <v>84.47</v>
      </c>
      <c r="F120" s="120"/>
      <c r="G120" s="166"/>
    </row>
    <row r="121" spans="1:7" x14ac:dyDescent="0.2">
      <c r="A121" s="185" t="str">
        <f>+A113</f>
        <v>1.3. Motorista Turno Dia</v>
      </c>
      <c r="B121" s="204" t="s">
        <v>7</v>
      </c>
      <c r="C121" s="229">
        <f>E42</f>
        <v>1</v>
      </c>
      <c r="D121" s="230">
        <v>84.47</v>
      </c>
      <c r="E121" s="184">
        <f t="shared" si="4"/>
        <v>84.47</v>
      </c>
      <c r="F121" s="120"/>
      <c r="G121" s="166"/>
    </row>
    <row r="122" spans="1:7" ht="13.5" thickBot="1" x14ac:dyDescent="0.25">
      <c r="A122" s="185" t="str">
        <f>+A114</f>
        <v>1.4. Administração</v>
      </c>
      <c r="B122" s="204" t="s">
        <v>7</v>
      </c>
      <c r="C122" s="229">
        <f>E43</f>
        <v>1</v>
      </c>
      <c r="D122" s="232" t="s">
        <v>254</v>
      </c>
      <c r="E122" s="224" t="s">
        <v>254</v>
      </c>
      <c r="F122" s="120"/>
      <c r="G122" s="166"/>
    </row>
    <row r="123" spans="1:7" ht="13.5" thickBot="1" x14ac:dyDescent="0.25">
      <c r="D123" s="210" t="s">
        <v>172</v>
      </c>
      <c r="E123" s="184">
        <f>$B$51</f>
        <v>1</v>
      </c>
      <c r="F123" s="231">
        <f>SUM(E119:E122)*E123</f>
        <v>168.94</v>
      </c>
      <c r="G123" s="166"/>
    </row>
    <row r="124" spans="1:7" ht="13.5" thickBot="1" x14ac:dyDescent="0.25">
      <c r="G124" s="166"/>
    </row>
    <row r="125" spans="1:7" ht="13.5" thickBot="1" x14ac:dyDescent="0.25">
      <c r="A125" s="233" t="s">
        <v>77</v>
      </c>
      <c r="B125" s="234"/>
      <c r="C125" s="234"/>
      <c r="D125" s="235"/>
      <c r="E125" s="236"/>
      <c r="F125" s="231">
        <f>F123+F115+F107+F97+F87+F75+F63</f>
        <v>59870.808458</v>
      </c>
      <c r="G125" s="166"/>
    </row>
    <row r="127" spans="1:7" x14ac:dyDescent="0.2">
      <c r="A127" s="145" t="s">
        <v>35</v>
      </c>
      <c r="G127" s="166"/>
    </row>
    <row r="128" spans="1:7" ht="11.25" customHeight="1" x14ac:dyDescent="0.2">
      <c r="G128" s="166"/>
    </row>
    <row r="129" spans="1:7" ht="13.9" customHeight="1" x14ac:dyDescent="0.2">
      <c r="A129" s="124" t="s">
        <v>258</v>
      </c>
      <c r="G129" s="166"/>
    </row>
    <row r="130" spans="1:7" ht="11.25" customHeight="1" thickBot="1" x14ac:dyDescent="0.25">
      <c r="G130" s="166"/>
    </row>
    <row r="131" spans="1:7" ht="27.75" customHeight="1" thickBot="1" x14ac:dyDescent="0.25">
      <c r="A131" s="197" t="s">
        <v>51</v>
      </c>
      <c r="B131" s="198" t="s">
        <v>52</v>
      </c>
      <c r="C131" s="237" t="s">
        <v>232</v>
      </c>
      <c r="D131" s="199" t="s">
        <v>214</v>
      </c>
      <c r="E131" s="199" t="s">
        <v>53</v>
      </c>
      <c r="F131" s="200" t="s">
        <v>54</v>
      </c>
      <c r="G131" s="166"/>
    </row>
    <row r="132" spans="1:7" x14ac:dyDescent="0.2">
      <c r="A132" s="201" t="s">
        <v>55</v>
      </c>
      <c r="B132" s="202" t="s">
        <v>7</v>
      </c>
      <c r="C132" s="238">
        <v>6</v>
      </c>
      <c r="D132" s="203">
        <v>99</v>
      </c>
      <c r="E132" s="203">
        <f>IFERROR(D132/C132,0)</f>
        <v>16.5</v>
      </c>
      <c r="G132" s="166"/>
    </row>
    <row r="133" spans="1:7" ht="13.15" customHeight="1" x14ac:dyDescent="0.2">
      <c r="A133" s="185" t="s">
        <v>22</v>
      </c>
      <c r="B133" s="204" t="s">
        <v>7</v>
      </c>
      <c r="C133" s="238">
        <v>3</v>
      </c>
      <c r="D133" s="203">
        <v>38</v>
      </c>
      <c r="E133" s="203">
        <f t="shared" ref="E133:E143" si="5">IFERROR(D133/C133,0)</f>
        <v>12.666666666666666</v>
      </c>
      <c r="G133" s="166"/>
    </row>
    <row r="134" spans="1:7" ht="13.15" customHeight="1" x14ac:dyDescent="0.2">
      <c r="A134" s="221" t="s">
        <v>309</v>
      </c>
      <c r="B134" s="204" t="s">
        <v>7</v>
      </c>
      <c r="C134" s="238">
        <v>12</v>
      </c>
      <c r="D134" s="203">
        <v>30</v>
      </c>
      <c r="E134" s="203">
        <f t="shared" si="5"/>
        <v>2.5</v>
      </c>
      <c r="G134" s="166"/>
    </row>
    <row r="135" spans="1:7" x14ac:dyDescent="0.2">
      <c r="A135" s="221" t="s">
        <v>23</v>
      </c>
      <c r="B135" s="204" t="s">
        <v>7</v>
      </c>
      <c r="C135" s="238">
        <v>3</v>
      </c>
      <c r="D135" s="203">
        <v>25</v>
      </c>
      <c r="E135" s="203">
        <f t="shared" si="5"/>
        <v>8.3333333333333339</v>
      </c>
      <c r="G135" s="166"/>
    </row>
    <row r="136" spans="1:7" ht="13.15" customHeight="1" x14ac:dyDescent="0.2">
      <c r="A136" s="221" t="s">
        <v>310</v>
      </c>
      <c r="B136" s="204" t="s">
        <v>7</v>
      </c>
      <c r="C136" s="238">
        <v>4</v>
      </c>
      <c r="D136" s="203">
        <v>9</v>
      </c>
      <c r="E136" s="203">
        <f t="shared" si="5"/>
        <v>2.25</v>
      </c>
      <c r="G136" s="166"/>
    </row>
    <row r="137" spans="1:7" ht="13.9" customHeight="1" x14ac:dyDescent="0.2">
      <c r="A137" s="221" t="s">
        <v>255</v>
      </c>
      <c r="B137" s="204" t="s">
        <v>38</v>
      </c>
      <c r="C137" s="238">
        <v>6</v>
      </c>
      <c r="D137" s="203">
        <v>43</v>
      </c>
      <c r="E137" s="203">
        <f t="shared" si="5"/>
        <v>7.166666666666667</v>
      </c>
      <c r="G137" s="166"/>
    </row>
    <row r="138" spans="1:7" ht="13.9" customHeight="1" x14ac:dyDescent="0.2">
      <c r="A138" s="221" t="s">
        <v>312</v>
      </c>
      <c r="B138" s="204" t="s">
        <v>7</v>
      </c>
      <c r="C138" s="238">
        <v>1</v>
      </c>
      <c r="D138" s="203">
        <v>5</v>
      </c>
      <c r="E138" s="203">
        <f t="shared" si="5"/>
        <v>5</v>
      </c>
      <c r="G138" s="166"/>
    </row>
    <row r="139" spans="1:7" ht="13.15" customHeight="1" x14ac:dyDescent="0.2">
      <c r="A139" s="185" t="s">
        <v>78</v>
      </c>
      <c r="B139" s="204" t="s">
        <v>38</v>
      </c>
      <c r="C139" s="238">
        <v>3</v>
      </c>
      <c r="D139" s="203">
        <v>4.99</v>
      </c>
      <c r="E139" s="203">
        <f t="shared" si="5"/>
        <v>1.6633333333333333</v>
      </c>
    </row>
    <row r="140" spans="1:7" x14ac:dyDescent="0.2">
      <c r="A140" s="221" t="s">
        <v>256</v>
      </c>
      <c r="B140" s="204" t="s">
        <v>7</v>
      </c>
      <c r="C140" s="238">
        <v>6</v>
      </c>
      <c r="D140" s="203">
        <v>20</v>
      </c>
      <c r="E140" s="203">
        <f t="shared" si="5"/>
        <v>3.3333333333333335</v>
      </c>
    </row>
    <row r="141" spans="1:7" s="241" customFormat="1" x14ac:dyDescent="0.2">
      <c r="A141" s="185" t="s">
        <v>24</v>
      </c>
      <c r="B141" s="239" t="s">
        <v>38</v>
      </c>
      <c r="C141" s="238">
        <v>1</v>
      </c>
      <c r="D141" s="203">
        <v>8.5</v>
      </c>
      <c r="E141" s="203">
        <f t="shared" si="5"/>
        <v>8.5</v>
      </c>
      <c r="F141" s="240"/>
      <c r="G141" s="240"/>
    </row>
    <row r="142" spans="1:7" x14ac:dyDescent="0.2">
      <c r="A142" s="185" t="s">
        <v>50</v>
      </c>
      <c r="B142" s="204" t="s">
        <v>39</v>
      </c>
      <c r="C142" s="238">
        <v>1</v>
      </c>
      <c r="D142" s="203">
        <v>15</v>
      </c>
      <c r="E142" s="203">
        <f t="shared" si="5"/>
        <v>15</v>
      </c>
    </row>
    <row r="143" spans="1:7" ht="13.15" customHeight="1" x14ac:dyDescent="0.2">
      <c r="A143" s="221" t="s">
        <v>257</v>
      </c>
      <c r="B143" s="204" t="s">
        <v>7</v>
      </c>
      <c r="C143" s="238">
        <v>1</v>
      </c>
      <c r="D143" s="203">
        <v>1.5</v>
      </c>
      <c r="E143" s="203">
        <f t="shared" si="5"/>
        <v>1.5</v>
      </c>
    </row>
    <row r="144" spans="1:7" x14ac:dyDescent="0.2">
      <c r="A144" s="185" t="s">
        <v>174</v>
      </c>
      <c r="B144" s="204" t="s">
        <v>97</v>
      </c>
      <c r="C144" s="212">
        <v>1</v>
      </c>
      <c r="D144" s="203">
        <v>85</v>
      </c>
      <c r="E144" s="205">
        <f t="shared" ref="E144:E145" si="6">C144*D144</f>
        <v>85</v>
      </c>
    </row>
    <row r="145" spans="1:7" ht="13.5" thickBot="1" x14ac:dyDescent="0.25">
      <c r="A145" s="185" t="s">
        <v>4</v>
      </c>
      <c r="B145" s="204" t="s">
        <v>5</v>
      </c>
      <c r="C145" s="212">
        <f>E40</f>
        <v>15</v>
      </c>
      <c r="D145" s="205">
        <f>+SUM(E132:E144)</f>
        <v>169.41333333333333</v>
      </c>
      <c r="E145" s="205">
        <f t="shared" si="6"/>
        <v>2541.1999999999998</v>
      </c>
    </row>
    <row r="146" spans="1:7" ht="13.5" thickBot="1" x14ac:dyDescent="0.25">
      <c r="D146" s="210" t="s">
        <v>172</v>
      </c>
      <c r="E146" s="184">
        <f>$B$51</f>
        <v>1</v>
      </c>
      <c r="F146" s="211">
        <f>E145*E146</f>
        <v>2541.1999999999998</v>
      </c>
    </row>
    <row r="147" spans="1:7" ht="11.25" customHeight="1" x14ac:dyDescent="0.2"/>
    <row r="148" spans="1:7" ht="13.9" customHeight="1" x14ac:dyDescent="0.2">
      <c r="A148" s="166" t="s">
        <v>175</v>
      </c>
    </row>
    <row r="149" spans="1:7" ht="11.25" customHeight="1" thickBot="1" x14ac:dyDescent="0.25"/>
    <row r="150" spans="1:7" ht="24.75" thickBot="1" x14ac:dyDescent="0.25">
      <c r="A150" s="197" t="s">
        <v>51</v>
      </c>
      <c r="B150" s="198" t="s">
        <v>52</v>
      </c>
      <c r="C150" s="237" t="s">
        <v>232</v>
      </c>
      <c r="D150" s="199" t="s">
        <v>214</v>
      </c>
      <c r="E150" s="199" t="s">
        <v>53</v>
      </c>
      <c r="F150" s="200" t="s">
        <v>54</v>
      </c>
    </row>
    <row r="151" spans="1:7" x14ac:dyDescent="0.2">
      <c r="A151" s="201" t="s">
        <v>55</v>
      </c>
      <c r="B151" s="202" t="s">
        <v>7</v>
      </c>
      <c r="C151" s="238">
        <v>6</v>
      </c>
      <c r="D151" s="203">
        <f>+D132</f>
        <v>99</v>
      </c>
      <c r="E151" s="203">
        <f>IFERROR(D151/C151,0)</f>
        <v>16.5</v>
      </c>
    </row>
    <row r="152" spans="1:7" x14ac:dyDescent="0.2">
      <c r="A152" s="185" t="s">
        <v>22</v>
      </c>
      <c r="B152" s="204" t="s">
        <v>7</v>
      </c>
      <c r="C152" s="238">
        <v>3</v>
      </c>
      <c r="D152" s="205">
        <f>+D133</f>
        <v>38</v>
      </c>
      <c r="E152" s="203">
        <f t="shared" ref="E152:E158" si="7">IFERROR(D152/C152,0)</f>
        <v>12.666666666666666</v>
      </c>
    </row>
    <row r="153" spans="1:7" x14ac:dyDescent="0.2">
      <c r="A153" s="185" t="s">
        <v>23</v>
      </c>
      <c r="B153" s="204" t="s">
        <v>7</v>
      </c>
      <c r="C153" s="238">
        <v>3</v>
      </c>
      <c r="D153" s="205">
        <f>+D135</f>
        <v>25</v>
      </c>
      <c r="E153" s="203">
        <f t="shared" si="7"/>
        <v>8.3333333333333339</v>
      </c>
    </row>
    <row r="154" spans="1:7" x14ac:dyDescent="0.2">
      <c r="A154" s="221" t="s">
        <v>310</v>
      </c>
      <c r="B154" s="204" t="s">
        <v>7</v>
      </c>
      <c r="C154" s="238">
        <v>4</v>
      </c>
      <c r="D154" s="205">
        <v>9</v>
      </c>
      <c r="E154" s="203">
        <f t="shared" si="7"/>
        <v>2.25</v>
      </c>
    </row>
    <row r="155" spans="1:7" x14ac:dyDescent="0.2">
      <c r="A155" s="221" t="s">
        <v>311</v>
      </c>
      <c r="B155" s="204" t="s">
        <v>7</v>
      </c>
      <c r="C155" s="238">
        <v>12</v>
      </c>
      <c r="D155" s="205">
        <v>30</v>
      </c>
      <c r="E155" s="203">
        <f t="shared" si="7"/>
        <v>2.5</v>
      </c>
    </row>
    <row r="156" spans="1:7" x14ac:dyDescent="0.2">
      <c r="A156" s="221" t="s">
        <v>255</v>
      </c>
      <c r="B156" s="204" t="s">
        <v>38</v>
      </c>
      <c r="C156" s="238">
        <v>6</v>
      </c>
      <c r="D156" s="205">
        <f>+D137</f>
        <v>43</v>
      </c>
      <c r="E156" s="203">
        <f t="shared" si="7"/>
        <v>7.166666666666667</v>
      </c>
    </row>
    <row r="157" spans="1:7" x14ac:dyDescent="0.2">
      <c r="A157" s="221" t="s">
        <v>256</v>
      </c>
      <c r="B157" s="204" t="s">
        <v>7</v>
      </c>
      <c r="C157" s="238">
        <v>6</v>
      </c>
      <c r="D157" s="205">
        <f>+D140</f>
        <v>20</v>
      </c>
      <c r="E157" s="203">
        <f t="shared" si="7"/>
        <v>3.3333333333333335</v>
      </c>
      <c r="G157" s="166"/>
    </row>
    <row r="158" spans="1:7" x14ac:dyDescent="0.2">
      <c r="A158" s="185" t="s">
        <v>50</v>
      </c>
      <c r="B158" s="204" t="s">
        <v>39</v>
      </c>
      <c r="C158" s="238">
        <v>1</v>
      </c>
      <c r="D158" s="205">
        <f>+D142</f>
        <v>15</v>
      </c>
      <c r="E158" s="203">
        <f t="shared" si="7"/>
        <v>15</v>
      </c>
      <c r="G158" s="166"/>
    </row>
    <row r="159" spans="1:7" x14ac:dyDescent="0.2">
      <c r="A159" s="185" t="s">
        <v>174</v>
      </c>
      <c r="B159" s="204" t="s">
        <v>97</v>
      </c>
      <c r="C159" s="212">
        <v>1</v>
      </c>
      <c r="D159" s="203">
        <v>25</v>
      </c>
      <c r="E159" s="205">
        <f t="shared" ref="E159" si="8">C159*D159</f>
        <v>25</v>
      </c>
      <c r="G159" s="166"/>
    </row>
    <row r="160" spans="1:7" ht="13.5" thickBot="1" x14ac:dyDescent="0.25">
      <c r="A160" s="185" t="s">
        <v>4</v>
      </c>
      <c r="B160" s="204" t="s">
        <v>5</v>
      </c>
      <c r="C160" s="212">
        <f>E41+E42</f>
        <v>2</v>
      </c>
      <c r="D160" s="205">
        <f>+SUM(E151:E159)</f>
        <v>92.75</v>
      </c>
      <c r="E160" s="205">
        <f>C160*D160</f>
        <v>185.5</v>
      </c>
      <c r="G160" s="166"/>
    </row>
    <row r="161" spans="1:10" ht="13.5" thickBot="1" x14ac:dyDescent="0.25">
      <c r="D161" s="210" t="s">
        <v>172</v>
      </c>
      <c r="E161" s="184">
        <f>$B$51</f>
        <v>1</v>
      </c>
      <c r="F161" s="211">
        <f>E160*E161</f>
        <v>185.5</v>
      </c>
      <c r="G161" s="166"/>
    </row>
    <row r="162" spans="1:10" ht="11.25" customHeight="1" thickBot="1" x14ac:dyDescent="0.25">
      <c r="G162" s="166"/>
    </row>
    <row r="163" spans="1:10" ht="13.5" thickBot="1" x14ac:dyDescent="0.25">
      <c r="A163" s="233" t="s">
        <v>176</v>
      </c>
      <c r="B163" s="242"/>
      <c r="C163" s="242"/>
      <c r="D163" s="243"/>
      <c r="E163" s="244"/>
      <c r="F163" s="245">
        <f>+F146+F161</f>
        <v>2726.7</v>
      </c>
      <c r="G163" s="166"/>
    </row>
    <row r="164" spans="1:10" ht="11.25" customHeight="1" x14ac:dyDescent="0.2">
      <c r="G164" s="166"/>
    </row>
    <row r="165" spans="1:10" x14ac:dyDescent="0.2">
      <c r="A165" s="145" t="s">
        <v>43</v>
      </c>
      <c r="G165" s="166"/>
    </row>
    <row r="166" spans="1:10" ht="11.25" customHeight="1" x14ac:dyDescent="0.2">
      <c r="B166" s="246"/>
      <c r="G166" s="166"/>
    </row>
    <row r="167" spans="1:10" x14ac:dyDescent="0.2">
      <c r="A167" s="124" t="s">
        <v>270</v>
      </c>
      <c r="G167" s="166"/>
    </row>
    <row r="168" spans="1:10" ht="11.25" customHeight="1" x14ac:dyDescent="0.2">
      <c r="G168" s="166"/>
    </row>
    <row r="169" spans="1:10" ht="13.5" thickBot="1" x14ac:dyDescent="0.25">
      <c r="A169" s="246" t="s">
        <v>36</v>
      </c>
      <c r="G169" s="166"/>
    </row>
    <row r="170" spans="1:10" ht="13.5" thickBot="1" x14ac:dyDescent="0.25">
      <c r="A170" s="197" t="s">
        <v>51</v>
      </c>
      <c r="B170" s="198" t="s">
        <v>52</v>
      </c>
      <c r="C170" s="198" t="s">
        <v>31</v>
      </c>
      <c r="D170" s="199" t="s">
        <v>214</v>
      </c>
      <c r="E170" s="199" t="s">
        <v>53</v>
      </c>
      <c r="F170" s="200" t="s">
        <v>54</v>
      </c>
      <c r="G170" s="166"/>
    </row>
    <row r="171" spans="1:10" x14ac:dyDescent="0.2">
      <c r="A171" s="227" t="s">
        <v>298</v>
      </c>
      <c r="B171" s="202" t="s">
        <v>7</v>
      </c>
      <c r="C171" s="202">
        <v>1</v>
      </c>
      <c r="D171" s="247">
        <v>353412</v>
      </c>
      <c r="E171" s="203">
        <f>C171*D171</f>
        <v>353412</v>
      </c>
      <c r="G171" s="166"/>
    </row>
    <row r="172" spans="1:10" x14ac:dyDescent="0.2">
      <c r="A172" s="185" t="s">
        <v>80</v>
      </c>
      <c r="B172" s="204" t="s">
        <v>81</v>
      </c>
      <c r="C172" s="204">
        <v>8</v>
      </c>
      <c r="D172" s="205"/>
      <c r="E172" s="205"/>
      <c r="G172" s="166"/>
    </row>
    <row r="173" spans="1:10" x14ac:dyDescent="0.2">
      <c r="A173" s="185" t="s">
        <v>189</v>
      </c>
      <c r="B173" s="204" t="s">
        <v>81</v>
      </c>
      <c r="C173" s="204">
        <v>0</v>
      </c>
      <c r="D173" s="205"/>
      <c r="E173" s="205"/>
      <c r="F173" s="248"/>
      <c r="I173" s="249"/>
      <c r="J173" s="249"/>
    </row>
    <row r="174" spans="1:10" x14ac:dyDescent="0.2">
      <c r="A174" s="185" t="s">
        <v>82</v>
      </c>
      <c r="B174" s="204" t="s">
        <v>1</v>
      </c>
      <c r="C174" s="205">
        <f>IFERROR(VLOOKUP(C172,'5. Depreciação'!A3:B17,2,FALSE),0)</f>
        <v>62.12</v>
      </c>
      <c r="D174" s="205">
        <f>E171</f>
        <v>353412</v>
      </c>
      <c r="E174" s="205">
        <f>C174*D174/100</f>
        <v>219539.53439999997</v>
      </c>
    </row>
    <row r="175" spans="1:10" ht="13.5" thickBot="1" x14ac:dyDescent="0.25">
      <c r="A175" s="250" t="s">
        <v>259</v>
      </c>
      <c r="B175" s="251" t="s">
        <v>6</v>
      </c>
      <c r="C175" s="251">
        <f>C172*12</f>
        <v>96</v>
      </c>
      <c r="D175" s="252">
        <f>IF(C173&lt;=C172,E174,0)</f>
        <v>219539.53439999997</v>
      </c>
      <c r="E175" s="252">
        <f>IFERROR(D175/C175,0)</f>
        <v>2286.8701499999997</v>
      </c>
    </row>
    <row r="176" spans="1:10" ht="13.5" thickTop="1" x14ac:dyDescent="0.2">
      <c r="A176" s="227" t="s">
        <v>260</v>
      </c>
      <c r="B176" s="202" t="s">
        <v>7</v>
      </c>
      <c r="C176" s="202">
        <v>4</v>
      </c>
      <c r="D176" s="203">
        <v>26000</v>
      </c>
      <c r="E176" s="203">
        <f>C176*D176</f>
        <v>104000</v>
      </c>
      <c r="G176" s="166"/>
    </row>
    <row r="177" spans="1:10" x14ac:dyDescent="0.2">
      <c r="A177" s="221" t="s">
        <v>261</v>
      </c>
      <c r="B177" s="204" t="s">
        <v>81</v>
      </c>
      <c r="C177" s="204">
        <v>8</v>
      </c>
      <c r="D177" s="205"/>
      <c r="E177" s="205"/>
    </row>
    <row r="178" spans="1:10" x14ac:dyDescent="0.2">
      <c r="A178" s="221" t="s">
        <v>262</v>
      </c>
      <c r="B178" s="204" t="s">
        <v>81</v>
      </c>
      <c r="C178" s="204">
        <v>0</v>
      </c>
      <c r="D178" s="205"/>
      <c r="E178" s="205"/>
      <c r="F178" s="248"/>
      <c r="I178" s="249"/>
      <c r="J178" s="249"/>
    </row>
    <row r="179" spans="1:10" x14ac:dyDescent="0.2">
      <c r="A179" s="221" t="s">
        <v>263</v>
      </c>
      <c r="B179" s="204" t="s">
        <v>1</v>
      </c>
      <c r="C179" s="184">
        <f>IFERROR(VLOOKUP(C177,'5. Depreciação'!A3:B17,2,FALSE),0)</f>
        <v>62.12</v>
      </c>
      <c r="D179" s="205">
        <f>E176</f>
        <v>104000</v>
      </c>
      <c r="E179" s="205">
        <f>C179*D179/100</f>
        <v>64604.800000000003</v>
      </c>
    </row>
    <row r="180" spans="1:10" x14ac:dyDescent="0.2">
      <c r="A180" s="189" t="s">
        <v>264</v>
      </c>
      <c r="B180" s="253" t="s">
        <v>6</v>
      </c>
      <c r="C180" s="253">
        <f>C177*12</f>
        <v>96</v>
      </c>
      <c r="D180" s="213">
        <f>IF(C178&lt;=C177,E179,0)</f>
        <v>64604.800000000003</v>
      </c>
      <c r="E180" s="213">
        <f>IFERROR(D180/C180,0)</f>
        <v>672.9666666666667</v>
      </c>
    </row>
    <row r="181" spans="1:10" x14ac:dyDescent="0.2">
      <c r="A181" s="206" t="s">
        <v>235</v>
      </c>
      <c r="B181" s="207"/>
      <c r="C181" s="207"/>
      <c r="D181" s="208"/>
      <c r="E181" s="209">
        <f>E175+E180</f>
        <v>2959.8368166666664</v>
      </c>
    </row>
    <row r="182" spans="1:10" ht="13.5" thickBot="1" x14ac:dyDescent="0.25">
      <c r="A182" s="189" t="s">
        <v>236</v>
      </c>
      <c r="B182" s="253" t="s">
        <v>7</v>
      </c>
      <c r="C182" s="204">
        <v>1</v>
      </c>
      <c r="D182" s="213">
        <f>E181</f>
        <v>2959.8368166666664</v>
      </c>
      <c r="E182" s="209">
        <f>C182*D182</f>
        <v>2959.8368166666664</v>
      </c>
    </row>
    <row r="183" spans="1:10" ht="13.5" thickBot="1" x14ac:dyDescent="0.25">
      <c r="A183" s="254"/>
      <c r="B183" s="254"/>
      <c r="C183" s="254"/>
      <c r="D183" s="210" t="s">
        <v>172</v>
      </c>
      <c r="E183" s="184">
        <f>$B$51</f>
        <v>1</v>
      </c>
      <c r="F183" s="245">
        <f>E182*E183</f>
        <v>2959.8368166666664</v>
      </c>
    </row>
    <row r="184" spans="1:10" ht="11.25" customHeight="1" x14ac:dyDescent="0.2"/>
    <row r="185" spans="1:10" ht="13.5" thickBot="1" x14ac:dyDescent="0.25">
      <c r="A185" s="246" t="s">
        <v>88</v>
      </c>
    </row>
    <row r="186" spans="1:10" ht="13.5" thickBot="1" x14ac:dyDescent="0.25">
      <c r="A186" s="255" t="s">
        <v>51</v>
      </c>
      <c r="B186" s="256" t="s">
        <v>52</v>
      </c>
      <c r="C186" s="256" t="s">
        <v>31</v>
      </c>
      <c r="D186" s="199" t="s">
        <v>214</v>
      </c>
      <c r="E186" s="257" t="s">
        <v>53</v>
      </c>
      <c r="F186" s="200" t="s">
        <v>54</v>
      </c>
      <c r="I186" s="249"/>
      <c r="J186" s="249"/>
    </row>
    <row r="187" spans="1:10" x14ac:dyDescent="0.2">
      <c r="A187" s="185" t="s">
        <v>86</v>
      </c>
      <c r="B187" s="204" t="s">
        <v>7</v>
      </c>
      <c r="C187" s="202">
        <v>1</v>
      </c>
      <c r="D187" s="205">
        <f>D171</f>
        <v>353412</v>
      </c>
      <c r="E187" s="205">
        <f>C187*D187</f>
        <v>353412</v>
      </c>
      <c r="F187" s="248"/>
      <c r="I187" s="249"/>
      <c r="J187" s="249"/>
    </row>
    <row r="188" spans="1:10" x14ac:dyDescent="0.2">
      <c r="A188" s="185" t="s">
        <v>192</v>
      </c>
      <c r="B188" s="204" t="s">
        <v>1</v>
      </c>
      <c r="C188" s="204">
        <v>6.4</v>
      </c>
      <c r="D188" s="205"/>
      <c r="E188" s="205"/>
      <c r="F188" s="248"/>
      <c r="I188" s="249"/>
      <c r="J188" s="249"/>
    </row>
    <row r="189" spans="1:10" x14ac:dyDescent="0.2">
      <c r="A189" s="185" t="s">
        <v>190</v>
      </c>
      <c r="B189" s="204" t="s">
        <v>26</v>
      </c>
      <c r="C189" s="258">
        <f>IFERROR(IF(C173&lt;=C172,E171-(C174/(100*C172)*C173)*E171,E171-E174),0)</f>
        <v>353412</v>
      </c>
      <c r="D189" s="205"/>
      <c r="E189" s="205"/>
      <c r="F189" s="248"/>
      <c r="I189" s="249"/>
      <c r="J189" s="249"/>
    </row>
    <row r="190" spans="1:10" x14ac:dyDescent="0.2">
      <c r="A190" s="185" t="s">
        <v>91</v>
      </c>
      <c r="B190" s="204" t="s">
        <v>26</v>
      </c>
      <c r="C190" s="205">
        <f>IFERROR(IF(C173&gt;=C172,C189,((((C189)-(E171-E174))*(((C172-C173)+1)/(2*(C172-C173))))+(E171-E174))),0)</f>
        <v>257363.45370000001</v>
      </c>
      <c r="D190" s="205"/>
      <c r="E190" s="205"/>
      <c r="F190" s="248"/>
      <c r="I190" s="249"/>
      <c r="J190" s="249"/>
    </row>
    <row r="191" spans="1:10" ht="13.5" thickBot="1" x14ac:dyDescent="0.25">
      <c r="A191" s="250" t="s">
        <v>92</v>
      </c>
      <c r="B191" s="251" t="s">
        <v>26</v>
      </c>
      <c r="C191" s="251"/>
      <c r="D191" s="252">
        <f>C188*C190/12/100</f>
        <v>1372.6050864000001</v>
      </c>
      <c r="E191" s="252">
        <f>D191</f>
        <v>1372.6050864000001</v>
      </c>
      <c r="F191" s="248"/>
      <c r="I191" s="249"/>
      <c r="J191" s="249"/>
    </row>
    <row r="192" spans="1:10" ht="13.5" thickTop="1" x14ac:dyDescent="0.2">
      <c r="A192" s="201" t="s">
        <v>87</v>
      </c>
      <c r="B192" s="202" t="s">
        <v>7</v>
      </c>
      <c r="C192" s="202">
        <f>C176</f>
        <v>4</v>
      </c>
      <c r="D192" s="203">
        <f>D176</f>
        <v>26000</v>
      </c>
      <c r="E192" s="203">
        <f>C192*D192</f>
        <v>104000</v>
      </c>
      <c r="F192" s="248"/>
      <c r="I192" s="249"/>
      <c r="J192" s="249"/>
    </row>
    <row r="193" spans="1:10" x14ac:dyDescent="0.2">
      <c r="A193" s="185" t="s">
        <v>192</v>
      </c>
      <c r="B193" s="204" t="s">
        <v>1</v>
      </c>
      <c r="C193" s="204">
        <f>C188</f>
        <v>6.4</v>
      </c>
      <c r="D193" s="205"/>
      <c r="E193" s="205"/>
      <c r="F193" s="248"/>
      <c r="I193" s="249"/>
      <c r="J193" s="249"/>
    </row>
    <row r="194" spans="1:10" x14ac:dyDescent="0.2">
      <c r="A194" s="185" t="s">
        <v>191</v>
      </c>
      <c r="B194" s="204" t="s">
        <v>26</v>
      </c>
      <c r="C194" s="258">
        <f>IFERROR(IF(C178&lt;=C177,E176-(C179/(100*C177)*C178)*E176,E176-E179),0)</f>
        <v>104000</v>
      </c>
      <c r="D194" s="205"/>
      <c r="E194" s="205"/>
      <c r="F194" s="248"/>
      <c r="I194" s="249"/>
      <c r="J194" s="249"/>
    </row>
    <row r="195" spans="1:10" x14ac:dyDescent="0.2">
      <c r="A195" s="185" t="s">
        <v>93</v>
      </c>
      <c r="B195" s="204" t="s">
        <v>26</v>
      </c>
      <c r="C195" s="205">
        <f>IFERROR(IF(C178&gt;=C177,C194,((((C194)-(E176-E179))*(((C177-C178)+1)/(2*(C177-C178))))+(E176-E179))),0)</f>
        <v>75735.399999999994</v>
      </c>
      <c r="D195" s="205"/>
      <c r="E195" s="205"/>
      <c r="F195" s="248"/>
      <c r="I195" s="249"/>
      <c r="J195" s="249"/>
    </row>
    <row r="196" spans="1:10" x14ac:dyDescent="0.2">
      <c r="A196" s="189" t="s">
        <v>90</v>
      </c>
      <c r="B196" s="253" t="s">
        <v>26</v>
      </c>
      <c r="C196" s="253"/>
      <c r="D196" s="213">
        <f>C193*C195/12/100</f>
        <v>403.92213333333331</v>
      </c>
      <c r="E196" s="213">
        <f>D196</f>
        <v>403.92213333333331</v>
      </c>
      <c r="F196" s="248"/>
      <c r="I196" s="249"/>
      <c r="J196" s="249"/>
    </row>
    <row r="197" spans="1:10" x14ac:dyDescent="0.2">
      <c r="A197" s="206" t="s">
        <v>235</v>
      </c>
      <c r="B197" s="207"/>
      <c r="C197" s="207"/>
      <c r="D197" s="208"/>
      <c r="E197" s="209">
        <f>E191+E196</f>
        <v>1776.5272197333334</v>
      </c>
      <c r="F197" s="248"/>
      <c r="I197" s="249"/>
      <c r="J197" s="249"/>
    </row>
    <row r="198" spans="1:10" ht="13.5" thickBot="1" x14ac:dyDescent="0.25">
      <c r="A198" s="189" t="s">
        <v>236</v>
      </c>
      <c r="B198" s="253" t="s">
        <v>7</v>
      </c>
      <c r="C198" s="204">
        <f>C182</f>
        <v>1</v>
      </c>
      <c r="D198" s="213">
        <f>E197</f>
        <v>1776.5272197333334</v>
      </c>
      <c r="E198" s="209">
        <f>C198*D198</f>
        <v>1776.5272197333334</v>
      </c>
      <c r="F198" s="248"/>
      <c r="I198" s="249"/>
      <c r="J198" s="249"/>
    </row>
    <row r="199" spans="1:10" ht="13.5" thickBot="1" x14ac:dyDescent="0.25">
      <c r="C199" s="259"/>
      <c r="D199" s="210" t="s">
        <v>172</v>
      </c>
      <c r="E199" s="184">
        <f>$B$51</f>
        <v>1</v>
      </c>
      <c r="F199" s="245">
        <f>E198*E199</f>
        <v>1776.5272197333334</v>
      </c>
      <c r="I199" s="249"/>
      <c r="J199" s="249"/>
    </row>
    <row r="200" spans="1:10" ht="11.25" customHeight="1" x14ac:dyDescent="0.2">
      <c r="I200" s="249"/>
      <c r="J200" s="249"/>
    </row>
    <row r="201" spans="1:10" ht="13.5" thickBot="1" x14ac:dyDescent="0.25">
      <c r="A201" s="166" t="s">
        <v>40</v>
      </c>
      <c r="I201" s="249"/>
      <c r="J201" s="249"/>
    </row>
    <row r="202" spans="1:10" ht="13.5" thickBot="1" x14ac:dyDescent="0.25">
      <c r="A202" s="197" t="s">
        <v>51</v>
      </c>
      <c r="B202" s="198" t="s">
        <v>52</v>
      </c>
      <c r="C202" s="198" t="s">
        <v>31</v>
      </c>
      <c r="D202" s="199" t="s">
        <v>214</v>
      </c>
      <c r="E202" s="199" t="s">
        <v>53</v>
      </c>
      <c r="F202" s="200" t="s">
        <v>54</v>
      </c>
      <c r="I202" s="249"/>
      <c r="J202" s="249"/>
    </row>
    <row r="203" spans="1:10" x14ac:dyDescent="0.2">
      <c r="A203" s="201" t="s">
        <v>8</v>
      </c>
      <c r="B203" s="202" t="s">
        <v>7</v>
      </c>
      <c r="C203" s="203">
        <f>C182</f>
        <v>1</v>
      </c>
      <c r="D203" s="203">
        <f>0.01*($E$171)</f>
        <v>3534.12</v>
      </c>
      <c r="E203" s="203">
        <f>C203*D203</f>
        <v>3534.12</v>
      </c>
      <c r="I203" s="249"/>
      <c r="J203" s="249"/>
    </row>
    <row r="204" spans="1:10" x14ac:dyDescent="0.2">
      <c r="A204" s="185" t="s">
        <v>171</v>
      </c>
      <c r="B204" s="204" t="s">
        <v>7</v>
      </c>
      <c r="C204" s="203">
        <f>C182</f>
        <v>1</v>
      </c>
      <c r="D204" s="205">
        <v>131.83000000000001</v>
      </c>
      <c r="E204" s="205">
        <f>C204*D204</f>
        <v>131.83000000000001</v>
      </c>
      <c r="I204" s="249"/>
      <c r="J204" s="249"/>
    </row>
    <row r="205" spans="1:10" x14ac:dyDescent="0.2">
      <c r="A205" s="185" t="s">
        <v>9</v>
      </c>
      <c r="B205" s="204" t="s">
        <v>7</v>
      </c>
      <c r="C205" s="203">
        <f>C182</f>
        <v>1</v>
      </c>
      <c r="D205" s="205">
        <v>0</v>
      </c>
      <c r="E205" s="205">
        <f>C205*D205</f>
        <v>0</v>
      </c>
      <c r="F205" s="119"/>
      <c r="I205" s="249"/>
      <c r="J205" s="249"/>
    </row>
    <row r="206" spans="1:10" ht="13.5" thickBot="1" x14ac:dyDescent="0.25">
      <c r="A206" s="189" t="s">
        <v>10</v>
      </c>
      <c r="B206" s="253" t="s">
        <v>6</v>
      </c>
      <c r="C206" s="253">
        <v>12</v>
      </c>
      <c r="D206" s="213">
        <f>SUM(E203:E205)</f>
        <v>3665.95</v>
      </c>
      <c r="E206" s="213">
        <f>D206/C206</f>
        <v>305.49583333333334</v>
      </c>
      <c r="I206" s="249"/>
      <c r="J206" s="249"/>
    </row>
    <row r="207" spans="1:10" ht="13.5" thickBot="1" x14ac:dyDescent="0.25">
      <c r="D207" s="210" t="s">
        <v>172</v>
      </c>
      <c r="E207" s="184">
        <f>$B$51</f>
        <v>1</v>
      </c>
      <c r="F207" s="211">
        <f>E206*E207</f>
        <v>305.49583333333334</v>
      </c>
      <c r="I207" s="249"/>
      <c r="J207" s="249"/>
    </row>
    <row r="208" spans="1:10" ht="11.25" customHeight="1" x14ac:dyDescent="0.2">
      <c r="I208" s="249"/>
      <c r="J208" s="249"/>
    </row>
    <row r="209" spans="1:10" x14ac:dyDescent="0.2">
      <c r="A209" s="166" t="s">
        <v>41</v>
      </c>
      <c r="B209" s="260"/>
      <c r="I209" s="249"/>
      <c r="J209" s="249"/>
    </row>
    <row r="210" spans="1:10" x14ac:dyDescent="0.2">
      <c r="B210" s="260"/>
      <c r="I210" s="249"/>
      <c r="J210" s="249"/>
    </row>
    <row r="211" spans="1:10" x14ac:dyDescent="0.2">
      <c r="A211" s="189" t="s">
        <v>94</v>
      </c>
      <c r="B211" s="261">
        <v>5200</v>
      </c>
      <c r="I211" s="249"/>
      <c r="J211" s="249"/>
    </row>
    <row r="212" spans="1:10" ht="13.5" thickBot="1" x14ac:dyDescent="0.25">
      <c r="B212" s="260">
        <v>0.3</v>
      </c>
      <c r="I212" s="249"/>
      <c r="J212" s="249"/>
    </row>
    <row r="213" spans="1:10" ht="13.5" thickBot="1" x14ac:dyDescent="0.25">
      <c r="A213" s="197" t="s">
        <v>51</v>
      </c>
      <c r="B213" s="198" t="s">
        <v>52</v>
      </c>
      <c r="C213" s="198" t="s">
        <v>234</v>
      </c>
      <c r="D213" s="199" t="s">
        <v>214</v>
      </c>
      <c r="E213" s="199" t="s">
        <v>53</v>
      </c>
      <c r="F213" s="200" t="s">
        <v>54</v>
      </c>
      <c r="I213" s="249"/>
      <c r="J213" s="249"/>
    </row>
    <row r="214" spans="1:10" x14ac:dyDescent="0.2">
      <c r="A214" s="201" t="s">
        <v>11</v>
      </c>
      <c r="B214" s="202" t="s">
        <v>12</v>
      </c>
      <c r="C214" s="262">
        <v>4</v>
      </c>
      <c r="D214" s="263">
        <v>3.6019999999999999</v>
      </c>
      <c r="E214" s="203"/>
      <c r="I214" s="249"/>
      <c r="J214" s="249"/>
    </row>
    <row r="215" spans="1:10" x14ac:dyDescent="0.2">
      <c r="A215" s="185" t="s">
        <v>13</v>
      </c>
      <c r="B215" s="204" t="s">
        <v>14</v>
      </c>
      <c r="C215" s="264">
        <f>B211</f>
        <v>5200</v>
      </c>
      <c r="D215" s="263">
        <f>IFERROR(+D214/C214,"-")</f>
        <v>0.90049999999999997</v>
      </c>
      <c r="E215" s="205">
        <f>IFERROR(C215*D215,"-")</f>
        <v>4682.5999999999995</v>
      </c>
      <c r="I215" s="249"/>
      <c r="J215" s="249"/>
    </row>
    <row r="216" spans="1:10" x14ac:dyDescent="0.2">
      <c r="A216" s="221" t="s">
        <v>299</v>
      </c>
      <c r="B216" s="222" t="s">
        <v>300</v>
      </c>
      <c r="C216" s="265">
        <v>50</v>
      </c>
      <c r="D216" s="205">
        <v>9.4499999999999993</v>
      </c>
      <c r="E216" s="205"/>
      <c r="I216" s="249"/>
      <c r="J216" s="249"/>
    </row>
    <row r="217" spans="1:10" x14ac:dyDescent="0.2">
      <c r="A217" s="185" t="s">
        <v>15</v>
      </c>
      <c r="B217" s="204" t="s">
        <v>14</v>
      </c>
      <c r="C217" s="264">
        <f>C215</f>
        <v>5200</v>
      </c>
      <c r="D217" s="266">
        <f>+C216*D216/10000</f>
        <v>4.7249999999999993E-2</v>
      </c>
      <c r="E217" s="205">
        <f>C217*D217</f>
        <v>245.69999999999996</v>
      </c>
      <c r="I217" s="249"/>
      <c r="J217" s="249"/>
    </row>
    <row r="218" spans="1:10" x14ac:dyDescent="0.2">
      <c r="A218" s="221" t="s">
        <v>301</v>
      </c>
      <c r="B218" s="222" t="s">
        <v>300</v>
      </c>
      <c r="C218" s="265">
        <v>10</v>
      </c>
      <c r="D218" s="205">
        <v>7.43</v>
      </c>
      <c r="E218" s="205"/>
      <c r="I218" s="249"/>
      <c r="J218" s="249"/>
    </row>
    <row r="219" spans="1:10" x14ac:dyDescent="0.2">
      <c r="A219" s="185" t="s">
        <v>16</v>
      </c>
      <c r="B219" s="204" t="s">
        <v>14</v>
      </c>
      <c r="C219" s="264">
        <v>10</v>
      </c>
      <c r="D219" s="266">
        <f>+C218*D218/10000</f>
        <v>7.43E-3</v>
      </c>
      <c r="E219" s="205">
        <f>C219*D219</f>
        <v>7.4300000000000005E-2</v>
      </c>
      <c r="I219" s="249"/>
      <c r="J219" s="249"/>
    </row>
    <row r="220" spans="1:10" x14ac:dyDescent="0.2">
      <c r="A220" s="221" t="s">
        <v>302</v>
      </c>
      <c r="B220" s="222" t="s">
        <v>300</v>
      </c>
      <c r="C220" s="265">
        <v>70</v>
      </c>
      <c r="D220" s="205">
        <v>10.25</v>
      </c>
      <c r="E220" s="205"/>
      <c r="I220" s="249"/>
      <c r="J220" s="249"/>
    </row>
    <row r="221" spans="1:10" x14ac:dyDescent="0.2">
      <c r="A221" s="185" t="s">
        <v>17</v>
      </c>
      <c r="B221" s="204" t="s">
        <v>14</v>
      </c>
      <c r="C221" s="264">
        <f>C215</f>
        <v>5200</v>
      </c>
      <c r="D221" s="266">
        <f>+C220*D220/10000</f>
        <v>7.1749999999999994E-2</v>
      </c>
      <c r="E221" s="205">
        <f>C221*D221</f>
        <v>373.09999999999997</v>
      </c>
      <c r="I221" s="249"/>
      <c r="J221" s="249"/>
    </row>
    <row r="222" spans="1:10" x14ac:dyDescent="0.2">
      <c r="A222" s="221" t="s">
        <v>303</v>
      </c>
      <c r="B222" s="222" t="s">
        <v>304</v>
      </c>
      <c r="C222" s="265">
        <v>10</v>
      </c>
      <c r="D222" s="205">
        <v>9</v>
      </c>
      <c r="E222" s="205"/>
      <c r="I222" s="249"/>
      <c r="J222" s="249"/>
    </row>
    <row r="223" spans="1:10" x14ac:dyDescent="0.2">
      <c r="A223" s="185" t="s">
        <v>18</v>
      </c>
      <c r="B223" s="204" t="s">
        <v>14</v>
      </c>
      <c r="C223" s="264">
        <f>C215</f>
        <v>5200</v>
      </c>
      <c r="D223" s="266">
        <f>+C222*D222/10000</f>
        <v>8.9999999999999993E-3</v>
      </c>
      <c r="E223" s="205">
        <f>C223*D223</f>
        <v>46.8</v>
      </c>
      <c r="I223" s="249"/>
      <c r="J223" s="249"/>
    </row>
    <row r="224" spans="1:10" ht="13.5" thickBot="1" x14ac:dyDescent="0.25">
      <c r="A224" s="189" t="s">
        <v>233</v>
      </c>
      <c r="B224" s="253" t="s">
        <v>95</v>
      </c>
      <c r="C224" s="267"/>
      <c r="D224" s="268">
        <f>IFERROR(D215+D217+D219+D221+D223,0)</f>
        <v>1.03593</v>
      </c>
      <c r="E224" s="205"/>
      <c r="I224" s="249"/>
      <c r="J224" s="249"/>
    </row>
    <row r="225" spans="1:10" ht="13.5" thickBot="1" x14ac:dyDescent="0.25">
      <c r="F225" s="245">
        <f>SUM(E214:E223)</f>
        <v>5348.2743</v>
      </c>
      <c r="I225" s="249"/>
      <c r="J225" s="249"/>
    </row>
    <row r="226" spans="1:10" ht="11.25" customHeight="1" x14ac:dyDescent="0.2">
      <c r="I226" s="249"/>
      <c r="J226" s="249"/>
    </row>
    <row r="227" spans="1:10" ht="13.5" thickBot="1" x14ac:dyDescent="0.25">
      <c r="A227" s="166" t="s">
        <v>42</v>
      </c>
      <c r="I227" s="249"/>
      <c r="J227" s="249"/>
    </row>
    <row r="228" spans="1:10" ht="13.5" thickBot="1" x14ac:dyDescent="0.25">
      <c r="A228" s="197" t="s">
        <v>51</v>
      </c>
      <c r="B228" s="198" t="s">
        <v>52</v>
      </c>
      <c r="C228" s="198" t="s">
        <v>31</v>
      </c>
      <c r="D228" s="199" t="s">
        <v>214</v>
      </c>
      <c r="E228" s="199" t="s">
        <v>53</v>
      </c>
      <c r="F228" s="200" t="s">
        <v>54</v>
      </c>
      <c r="I228" s="249"/>
      <c r="J228" s="249"/>
    </row>
    <row r="229" spans="1:10" ht="13.5" thickBot="1" x14ac:dyDescent="0.25">
      <c r="A229" s="227" t="s">
        <v>265</v>
      </c>
      <c r="B229" s="202" t="s">
        <v>95</v>
      </c>
      <c r="C229" s="264">
        <f>C215</f>
        <v>5200</v>
      </c>
      <c r="D229" s="203">
        <v>0.25</v>
      </c>
      <c r="E229" s="203">
        <f>C229*D229</f>
        <v>1300</v>
      </c>
      <c r="I229" s="249"/>
      <c r="J229" s="249"/>
    </row>
    <row r="230" spans="1:10" ht="13.5" thickBot="1" x14ac:dyDescent="0.25">
      <c r="F230" s="245">
        <f>E229</f>
        <v>1300</v>
      </c>
      <c r="I230" s="249"/>
      <c r="J230" s="249"/>
    </row>
    <row r="231" spans="1:10" ht="11.25" customHeight="1" x14ac:dyDescent="0.2">
      <c r="I231" s="249"/>
      <c r="J231" s="249"/>
    </row>
    <row r="232" spans="1:10" ht="13.5" thickBot="1" x14ac:dyDescent="0.25">
      <c r="A232" s="166" t="s">
        <v>49</v>
      </c>
      <c r="I232" s="249"/>
      <c r="J232" s="249"/>
    </row>
    <row r="233" spans="1:10" ht="13.5" thickBot="1" x14ac:dyDescent="0.25">
      <c r="A233" s="197" t="s">
        <v>51</v>
      </c>
      <c r="B233" s="198" t="s">
        <v>52</v>
      </c>
      <c r="C233" s="198" t="s">
        <v>31</v>
      </c>
      <c r="D233" s="199" t="s">
        <v>214</v>
      </c>
      <c r="E233" s="199" t="s">
        <v>53</v>
      </c>
      <c r="F233" s="200" t="s">
        <v>54</v>
      </c>
      <c r="I233" s="249"/>
      <c r="J233" s="249"/>
    </row>
    <row r="234" spans="1:10" x14ac:dyDescent="0.2">
      <c r="A234" s="227" t="s">
        <v>305</v>
      </c>
      <c r="B234" s="202" t="s">
        <v>7</v>
      </c>
      <c r="C234" s="202">
        <v>18</v>
      </c>
      <c r="D234" s="203">
        <v>1400</v>
      </c>
      <c r="E234" s="203">
        <f>C234*D234</f>
        <v>25200</v>
      </c>
      <c r="I234" s="249"/>
      <c r="J234" s="249"/>
    </row>
    <row r="235" spans="1:10" x14ac:dyDescent="0.2">
      <c r="A235" s="201" t="s">
        <v>96</v>
      </c>
      <c r="B235" s="202" t="s">
        <v>7</v>
      </c>
      <c r="C235" s="202">
        <v>2</v>
      </c>
      <c r="D235" s="203"/>
      <c r="E235" s="203"/>
      <c r="I235" s="249"/>
      <c r="J235" s="249"/>
    </row>
    <row r="236" spans="1:10" x14ac:dyDescent="0.2">
      <c r="A236" s="201" t="s">
        <v>56</v>
      </c>
      <c r="B236" s="202" t="s">
        <v>7</v>
      </c>
      <c r="C236" s="203">
        <f>C234*C235</f>
        <v>36</v>
      </c>
      <c r="D236" s="203">
        <v>600</v>
      </c>
      <c r="E236" s="203">
        <f>C236*D236</f>
        <v>21600</v>
      </c>
      <c r="I236" s="249"/>
      <c r="J236" s="249"/>
    </row>
    <row r="237" spans="1:10" x14ac:dyDescent="0.2">
      <c r="A237" s="221" t="s">
        <v>294</v>
      </c>
      <c r="B237" s="204" t="s">
        <v>19</v>
      </c>
      <c r="C237" s="269">
        <v>180000</v>
      </c>
      <c r="D237" s="205">
        <f>E234+E236</f>
        <v>46800</v>
      </c>
      <c r="E237" s="205">
        <f>IFERROR(D237/C237,"-")</f>
        <v>0.26</v>
      </c>
      <c r="I237" s="249"/>
      <c r="J237" s="249"/>
    </row>
    <row r="238" spans="1:10" x14ac:dyDescent="0.2">
      <c r="A238" s="185" t="s">
        <v>44</v>
      </c>
      <c r="B238" s="204" t="s">
        <v>14</v>
      </c>
      <c r="C238" s="264">
        <f>B211</f>
        <v>5200</v>
      </c>
      <c r="D238" s="205">
        <f>E237</f>
        <v>0.26</v>
      </c>
      <c r="E238" s="205">
        <f>IFERROR(C238*D238,0)</f>
        <v>1352</v>
      </c>
      <c r="I238" s="249"/>
      <c r="J238" s="249"/>
    </row>
    <row r="239" spans="1:10" x14ac:dyDescent="0.2">
      <c r="F239" s="213">
        <f>E238</f>
        <v>1352</v>
      </c>
      <c r="I239" s="249"/>
      <c r="J239" s="249"/>
    </row>
    <row r="240" spans="1:10" x14ac:dyDescent="0.2">
      <c r="F240" s="119"/>
      <c r="I240" s="249"/>
      <c r="J240" s="249"/>
    </row>
    <row r="241" spans="1:10" x14ac:dyDescent="0.2">
      <c r="A241" s="124" t="s">
        <v>271</v>
      </c>
      <c r="I241" s="249"/>
      <c r="J241" s="249"/>
    </row>
    <row r="242" spans="1:10" x14ac:dyDescent="0.2">
      <c r="I242" s="249"/>
      <c r="J242" s="249"/>
    </row>
    <row r="243" spans="1:10" ht="11.25" customHeight="1" thickBot="1" x14ac:dyDescent="0.25">
      <c r="A243" s="246" t="s">
        <v>272</v>
      </c>
      <c r="I243" s="249"/>
      <c r="J243" s="249"/>
    </row>
    <row r="244" spans="1:10" ht="11.25" customHeight="1" thickBot="1" x14ac:dyDescent="0.25">
      <c r="A244" s="197" t="s">
        <v>51</v>
      </c>
      <c r="B244" s="198" t="s">
        <v>52</v>
      </c>
      <c r="C244" s="198" t="s">
        <v>31</v>
      </c>
      <c r="D244" s="199" t="s">
        <v>214</v>
      </c>
      <c r="E244" s="199" t="s">
        <v>53</v>
      </c>
      <c r="F244" s="200" t="s">
        <v>54</v>
      </c>
      <c r="G244" s="166"/>
    </row>
    <row r="245" spans="1:10" x14ac:dyDescent="0.2">
      <c r="A245" s="201" t="s">
        <v>83</v>
      </c>
      <c r="B245" s="202" t="s">
        <v>7</v>
      </c>
      <c r="C245" s="202">
        <v>1</v>
      </c>
      <c r="D245" s="247">
        <v>215000</v>
      </c>
      <c r="E245" s="203">
        <f>C245*D245</f>
        <v>215000</v>
      </c>
      <c r="G245" s="166"/>
    </row>
    <row r="246" spans="1:10" ht="11.25" customHeight="1" x14ac:dyDescent="0.2">
      <c r="A246" s="185" t="s">
        <v>80</v>
      </c>
      <c r="B246" s="204" t="s">
        <v>81</v>
      </c>
      <c r="C246" s="204">
        <v>8</v>
      </c>
      <c r="D246" s="205"/>
      <c r="E246" s="205"/>
      <c r="G246" s="166"/>
    </row>
    <row r="247" spans="1:10" x14ac:dyDescent="0.2">
      <c r="A247" s="185" t="s">
        <v>189</v>
      </c>
      <c r="B247" s="204" t="s">
        <v>81</v>
      </c>
      <c r="C247" s="204">
        <v>0</v>
      </c>
      <c r="D247" s="205"/>
      <c r="E247" s="205"/>
      <c r="F247" s="248"/>
      <c r="G247" s="166"/>
    </row>
    <row r="248" spans="1:10" ht="11.25" customHeight="1" x14ac:dyDescent="0.2">
      <c r="A248" s="185" t="s">
        <v>82</v>
      </c>
      <c r="B248" s="204" t="s">
        <v>1</v>
      </c>
      <c r="C248" s="205">
        <v>62.12</v>
      </c>
      <c r="D248" s="205">
        <f>E245</f>
        <v>215000</v>
      </c>
      <c r="E248" s="205">
        <f>C248*D248/100</f>
        <v>133558</v>
      </c>
      <c r="G248" s="166"/>
    </row>
    <row r="249" spans="1:10" ht="13.5" thickBot="1" x14ac:dyDescent="0.25">
      <c r="A249" s="250" t="s">
        <v>259</v>
      </c>
      <c r="B249" s="251" t="s">
        <v>6</v>
      </c>
      <c r="C249" s="251">
        <f>C246*12</f>
        <v>96</v>
      </c>
      <c r="D249" s="252">
        <f>IF(C247&lt;=C246,E248,0)</f>
        <v>133558</v>
      </c>
      <c r="E249" s="252">
        <f>IFERROR(D249/C249,0)</f>
        <v>1391.2291666666667</v>
      </c>
      <c r="G249" s="166"/>
    </row>
    <row r="250" spans="1:10" ht="11.25" customHeight="1" thickTop="1" thickBot="1" x14ac:dyDescent="0.25">
      <c r="A250" s="189" t="s">
        <v>236</v>
      </c>
      <c r="B250" s="253" t="s">
        <v>7</v>
      </c>
      <c r="C250" s="204">
        <v>1</v>
      </c>
      <c r="D250" s="213">
        <f>E249</f>
        <v>1391.2291666666667</v>
      </c>
      <c r="E250" s="209">
        <f>C250*D250</f>
        <v>1391.2291666666667</v>
      </c>
      <c r="G250" s="166"/>
    </row>
    <row r="251" spans="1:10" ht="13.5" thickBot="1" x14ac:dyDescent="0.25">
      <c r="A251" s="254"/>
      <c r="B251" s="254"/>
      <c r="C251" s="254"/>
      <c r="D251" s="210" t="s">
        <v>172</v>
      </c>
      <c r="E251" s="184">
        <f>$B$51</f>
        <v>1</v>
      </c>
      <c r="F251" s="245">
        <f>E250*E251</f>
        <v>1391.2291666666667</v>
      </c>
    </row>
    <row r="252" spans="1:10" ht="11.25" customHeight="1" x14ac:dyDescent="0.2"/>
    <row r="253" spans="1:10" ht="13.5" thickBot="1" x14ac:dyDescent="0.25">
      <c r="A253" s="246" t="s">
        <v>273</v>
      </c>
    </row>
    <row r="254" spans="1:10" ht="13.5" thickBot="1" x14ac:dyDescent="0.25">
      <c r="A254" s="255" t="s">
        <v>51</v>
      </c>
      <c r="B254" s="256" t="s">
        <v>52</v>
      </c>
      <c r="C254" s="256" t="s">
        <v>31</v>
      </c>
      <c r="D254" s="199" t="s">
        <v>214</v>
      </c>
      <c r="E254" s="257" t="s">
        <v>53</v>
      </c>
      <c r="F254" s="200" t="s">
        <v>54</v>
      </c>
    </row>
    <row r="255" spans="1:10" ht="11.25" customHeight="1" x14ac:dyDescent="0.2">
      <c r="A255" s="185" t="s">
        <v>86</v>
      </c>
      <c r="B255" s="204" t="s">
        <v>7</v>
      </c>
      <c r="C255" s="202">
        <v>1</v>
      </c>
      <c r="D255" s="205">
        <f>D245</f>
        <v>215000</v>
      </c>
      <c r="E255" s="205">
        <f>C255*D255</f>
        <v>215000</v>
      </c>
      <c r="F255" s="248"/>
    </row>
    <row r="256" spans="1:10" ht="17.25" customHeight="1" x14ac:dyDescent="0.2">
      <c r="A256" s="185" t="s">
        <v>192</v>
      </c>
      <c r="B256" s="204" t="s">
        <v>1</v>
      </c>
      <c r="C256" s="204">
        <v>6.4</v>
      </c>
      <c r="D256" s="205"/>
      <c r="E256" s="205"/>
      <c r="F256" s="248"/>
    </row>
    <row r="257" spans="1:7" ht="11.25" customHeight="1" x14ac:dyDescent="0.2">
      <c r="A257" s="185" t="s">
        <v>190</v>
      </c>
      <c r="B257" s="204" t="s">
        <v>26</v>
      </c>
      <c r="C257" s="258">
        <f>IFERROR(IF(C247&lt;=C246,E245-(C248/(100*C246)*C247)*E245,E245-E248),0)</f>
        <v>215000</v>
      </c>
      <c r="D257" s="205"/>
      <c r="E257" s="205"/>
      <c r="F257" s="248"/>
    </row>
    <row r="258" spans="1:7" x14ac:dyDescent="0.2">
      <c r="A258" s="185" t="s">
        <v>91</v>
      </c>
      <c r="B258" s="204" t="s">
        <v>26</v>
      </c>
      <c r="C258" s="205">
        <f>IFERROR(IF(C247&gt;=C246,C257,((((C257)-(E245-E248))*(((C246-C247)+1)/(2*(C246-C247))))+(E245-E248))),0)</f>
        <v>156568.375</v>
      </c>
      <c r="D258" s="205"/>
      <c r="E258" s="205"/>
      <c r="F258" s="248"/>
    </row>
    <row r="259" spans="1:7" ht="11.25" customHeight="1" thickBot="1" x14ac:dyDescent="0.25">
      <c r="A259" s="250" t="s">
        <v>92</v>
      </c>
      <c r="B259" s="251" t="s">
        <v>26</v>
      </c>
      <c r="C259" s="251"/>
      <c r="D259" s="252">
        <f>C256*C258/12/100</f>
        <v>835.03133333333346</v>
      </c>
      <c r="E259" s="252">
        <f>D259</f>
        <v>835.03133333333346</v>
      </c>
      <c r="F259" s="248"/>
    </row>
    <row r="260" spans="1:7" ht="11.25" customHeight="1" thickTop="1" thickBot="1" x14ac:dyDescent="0.25">
      <c r="A260" s="189" t="s">
        <v>236</v>
      </c>
      <c r="B260" s="253" t="s">
        <v>7</v>
      </c>
      <c r="C260" s="204">
        <f>C250</f>
        <v>1</v>
      </c>
      <c r="D260" s="213">
        <f>E259</f>
        <v>835.03133333333346</v>
      </c>
      <c r="E260" s="209">
        <f>C260*D260</f>
        <v>835.03133333333346</v>
      </c>
      <c r="F260" s="248"/>
    </row>
    <row r="261" spans="1:7" ht="24.75" customHeight="1" thickBot="1" x14ac:dyDescent="0.25">
      <c r="C261" s="259"/>
      <c r="D261" s="210" t="s">
        <v>172</v>
      </c>
      <c r="E261" s="184">
        <f>$B$51</f>
        <v>1</v>
      </c>
      <c r="F261" s="245">
        <f>E260*E261</f>
        <v>835.03133333333346</v>
      </c>
    </row>
    <row r="262" spans="1:7" ht="12.6" customHeight="1" x14ac:dyDescent="0.2"/>
    <row r="263" spans="1:7" ht="13.5" thickBot="1" x14ac:dyDescent="0.25">
      <c r="A263" s="124" t="s">
        <v>274</v>
      </c>
    </row>
    <row r="264" spans="1:7" ht="16.149999999999999" customHeight="1" thickBot="1" x14ac:dyDescent="0.25">
      <c r="A264" s="197" t="s">
        <v>51</v>
      </c>
      <c r="B264" s="198" t="s">
        <v>52</v>
      </c>
      <c r="C264" s="198" t="s">
        <v>31</v>
      </c>
      <c r="D264" s="199" t="s">
        <v>214</v>
      </c>
      <c r="E264" s="199" t="s">
        <v>53</v>
      </c>
      <c r="F264" s="200" t="s">
        <v>54</v>
      </c>
      <c r="G264" s="167" t="s">
        <v>181</v>
      </c>
    </row>
    <row r="265" spans="1:7" x14ac:dyDescent="0.2">
      <c r="A265" s="201" t="s">
        <v>8</v>
      </c>
      <c r="B265" s="202" t="s">
        <v>7</v>
      </c>
      <c r="C265" s="203">
        <f>C250</f>
        <v>1</v>
      </c>
      <c r="D265" s="247" t="s">
        <v>254</v>
      </c>
      <c r="E265" s="247" t="s">
        <v>254</v>
      </c>
    </row>
    <row r="266" spans="1:7" ht="25.5" customHeight="1" x14ac:dyDescent="0.2">
      <c r="A266" s="185" t="s">
        <v>171</v>
      </c>
      <c r="B266" s="204" t="s">
        <v>7</v>
      </c>
      <c r="C266" s="203">
        <f>C250</f>
        <v>1</v>
      </c>
      <c r="D266" s="224" t="s">
        <v>254</v>
      </c>
      <c r="E266" s="224" t="s">
        <v>254</v>
      </c>
      <c r="G266" s="167" t="s">
        <v>181</v>
      </c>
    </row>
    <row r="267" spans="1:7" ht="12.6" customHeight="1" x14ac:dyDescent="0.2">
      <c r="A267" s="185" t="s">
        <v>9</v>
      </c>
      <c r="B267" s="204" t="s">
        <v>7</v>
      </c>
      <c r="C267" s="203">
        <f>C250</f>
        <v>1</v>
      </c>
      <c r="D267" s="224" t="s">
        <v>254</v>
      </c>
      <c r="E267" s="224" t="s">
        <v>254</v>
      </c>
      <c r="F267" s="119"/>
    </row>
    <row r="268" spans="1:7" s="127" customFormat="1" ht="9.75" customHeight="1" thickBot="1" x14ac:dyDescent="0.25">
      <c r="A268" s="189" t="s">
        <v>10</v>
      </c>
      <c r="B268" s="253" t="s">
        <v>6</v>
      </c>
      <c r="C268" s="253">
        <v>12</v>
      </c>
      <c r="D268" s="213" t="s">
        <v>254</v>
      </c>
      <c r="E268" s="213">
        <v>0</v>
      </c>
      <c r="F268" s="167"/>
      <c r="G268" s="126"/>
    </row>
    <row r="269" spans="1:7" s="127" customFormat="1" ht="9.75" customHeight="1" thickBot="1" x14ac:dyDescent="0.25">
      <c r="A269" s="166"/>
      <c r="B269" s="166"/>
      <c r="C269" s="166"/>
      <c r="D269" s="210" t="s">
        <v>172</v>
      </c>
      <c r="E269" s="184">
        <f>$B$51</f>
        <v>1</v>
      </c>
      <c r="F269" s="211">
        <f>E268*E269</f>
        <v>0</v>
      </c>
      <c r="G269" s="126"/>
    </row>
    <row r="270" spans="1:7" s="127" customFormat="1" ht="9.75" customHeight="1" x14ac:dyDescent="0.2">
      <c r="A270" s="166"/>
      <c r="B270" s="166"/>
      <c r="C270" s="166"/>
      <c r="D270" s="167"/>
      <c r="E270" s="167"/>
      <c r="F270" s="167"/>
      <c r="G270" s="126"/>
    </row>
    <row r="271" spans="1:7" x14ac:dyDescent="0.2">
      <c r="A271" s="124" t="s">
        <v>275</v>
      </c>
      <c r="B271" s="260"/>
    </row>
    <row r="272" spans="1:7" x14ac:dyDescent="0.2">
      <c r="B272" s="260"/>
    </row>
    <row r="273" spans="1:6" x14ac:dyDescent="0.2">
      <c r="A273" s="189" t="s">
        <v>278</v>
      </c>
      <c r="B273" s="261">
        <v>180</v>
      </c>
    </row>
    <row r="274" spans="1:6" ht="13.5" thickBot="1" x14ac:dyDescent="0.25">
      <c r="B274" s="260">
        <v>0.3</v>
      </c>
    </row>
    <row r="275" spans="1:6" ht="13.5" thickBot="1" x14ac:dyDescent="0.25">
      <c r="A275" s="197" t="s">
        <v>51</v>
      </c>
      <c r="B275" s="198" t="s">
        <v>52</v>
      </c>
      <c r="C275" s="198" t="s">
        <v>234</v>
      </c>
      <c r="D275" s="199" t="s">
        <v>214</v>
      </c>
      <c r="E275" s="199" t="s">
        <v>53</v>
      </c>
      <c r="F275" s="200" t="s">
        <v>54</v>
      </c>
    </row>
    <row r="276" spans="1:6" x14ac:dyDescent="0.2">
      <c r="A276" s="227" t="s">
        <v>279</v>
      </c>
      <c r="B276" s="270" t="s">
        <v>291</v>
      </c>
      <c r="C276" s="262">
        <v>7</v>
      </c>
      <c r="D276" s="263">
        <v>3.6019999999999999</v>
      </c>
      <c r="E276" s="203"/>
    </row>
    <row r="277" spans="1:6" x14ac:dyDescent="0.2">
      <c r="A277" s="185" t="s">
        <v>13</v>
      </c>
      <c r="B277" s="222" t="s">
        <v>285</v>
      </c>
      <c r="C277" s="264">
        <f>B273</f>
        <v>180</v>
      </c>
      <c r="D277" s="263">
        <f>IFERROR(+D276*C276,"-")</f>
        <v>25.213999999999999</v>
      </c>
      <c r="E277" s="205">
        <f>IFERROR(C277*D277,"-")</f>
        <v>4538.5199999999995</v>
      </c>
    </row>
    <row r="278" spans="1:6" x14ac:dyDescent="0.2">
      <c r="A278" s="221" t="s">
        <v>280</v>
      </c>
      <c r="B278" s="222" t="s">
        <v>306</v>
      </c>
      <c r="C278" s="265">
        <v>10</v>
      </c>
      <c r="D278" s="205">
        <v>9.4499999999999993</v>
      </c>
      <c r="E278" s="205"/>
    </row>
    <row r="279" spans="1:6" x14ac:dyDescent="0.2">
      <c r="A279" s="185" t="s">
        <v>15</v>
      </c>
      <c r="B279" s="222" t="s">
        <v>285</v>
      </c>
      <c r="C279" s="264">
        <f>C277</f>
        <v>180</v>
      </c>
      <c r="D279" s="266">
        <f>+C278*D278/100</f>
        <v>0.94499999999999995</v>
      </c>
      <c r="E279" s="205">
        <f>C279*D279</f>
        <v>170.1</v>
      </c>
    </row>
    <row r="280" spans="1:6" x14ac:dyDescent="0.2">
      <c r="A280" s="221" t="s">
        <v>281</v>
      </c>
      <c r="B280" s="222" t="s">
        <v>306</v>
      </c>
      <c r="C280" s="265">
        <v>10</v>
      </c>
      <c r="D280" s="205">
        <v>7.43</v>
      </c>
      <c r="E280" s="205"/>
    </row>
    <row r="281" spans="1:6" x14ac:dyDescent="0.2">
      <c r="A281" s="185" t="s">
        <v>16</v>
      </c>
      <c r="B281" s="222" t="s">
        <v>285</v>
      </c>
      <c r="C281" s="264">
        <f>B273</f>
        <v>180</v>
      </c>
      <c r="D281" s="266">
        <f>+C280*D280/100</f>
        <v>0.74299999999999999</v>
      </c>
      <c r="E281" s="205">
        <f>C281*D281</f>
        <v>133.74</v>
      </c>
    </row>
    <row r="282" spans="1:6" x14ac:dyDescent="0.2">
      <c r="A282" s="221" t="s">
        <v>282</v>
      </c>
      <c r="B282" s="222" t="s">
        <v>306</v>
      </c>
      <c r="C282" s="265">
        <v>15</v>
      </c>
      <c r="D282" s="205">
        <v>10.25</v>
      </c>
      <c r="E282" s="205"/>
    </row>
    <row r="283" spans="1:6" x14ac:dyDescent="0.2">
      <c r="A283" s="185" t="s">
        <v>17</v>
      </c>
      <c r="B283" s="222" t="s">
        <v>285</v>
      </c>
      <c r="C283" s="264">
        <f>C277</f>
        <v>180</v>
      </c>
      <c r="D283" s="266">
        <f>+C282*D282/100</f>
        <v>1.5375000000000001</v>
      </c>
      <c r="E283" s="205">
        <f>C283*D283</f>
        <v>276.75</v>
      </c>
    </row>
    <row r="284" spans="1:6" x14ac:dyDescent="0.2">
      <c r="A284" s="221" t="s">
        <v>283</v>
      </c>
      <c r="B284" s="222" t="s">
        <v>307</v>
      </c>
      <c r="C284" s="265">
        <v>10</v>
      </c>
      <c r="D284" s="205">
        <v>9</v>
      </c>
      <c r="E284" s="205"/>
    </row>
    <row r="285" spans="1:6" x14ac:dyDescent="0.2">
      <c r="A285" s="185" t="s">
        <v>18</v>
      </c>
      <c r="B285" s="222" t="s">
        <v>285</v>
      </c>
      <c r="C285" s="264">
        <f>C277</f>
        <v>180</v>
      </c>
      <c r="D285" s="266">
        <f>+C284*D284/100</f>
        <v>0.9</v>
      </c>
      <c r="E285" s="205">
        <f>C285*D285</f>
        <v>162</v>
      </c>
    </row>
    <row r="286" spans="1:6" ht="13.5" thickBot="1" x14ac:dyDescent="0.25">
      <c r="A286" s="189" t="s">
        <v>284</v>
      </c>
      <c r="B286" s="253" t="s">
        <v>286</v>
      </c>
      <c r="C286" s="267"/>
      <c r="D286" s="268">
        <f>IFERROR(D277+D279+D281+D283+D285,0)</f>
        <v>29.339499999999997</v>
      </c>
      <c r="E286" s="205"/>
    </row>
    <row r="287" spans="1:6" ht="13.5" thickBot="1" x14ac:dyDescent="0.25">
      <c r="F287" s="245">
        <f>SUM(E276:E285)</f>
        <v>5281.11</v>
      </c>
    </row>
    <row r="289" spans="1:6" ht="13.5" thickBot="1" x14ac:dyDescent="0.25">
      <c r="A289" s="124" t="s">
        <v>276</v>
      </c>
    </row>
    <row r="290" spans="1:6" ht="13.5" thickBot="1" x14ac:dyDescent="0.25">
      <c r="A290" s="197" t="s">
        <v>51</v>
      </c>
      <c r="B290" s="198" t="s">
        <v>52</v>
      </c>
      <c r="C290" s="198" t="s">
        <v>31</v>
      </c>
      <c r="D290" s="199" t="s">
        <v>214</v>
      </c>
      <c r="E290" s="199" t="s">
        <v>53</v>
      </c>
      <c r="F290" s="200" t="s">
        <v>54</v>
      </c>
    </row>
    <row r="291" spans="1:6" ht="13.5" thickBot="1" x14ac:dyDescent="0.25">
      <c r="A291" s="227" t="s">
        <v>269</v>
      </c>
      <c r="B291" s="270" t="s">
        <v>286</v>
      </c>
      <c r="C291" s="264">
        <f>C277</f>
        <v>180</v>
      </c>
      <c r="D291" s="203">
        <v>11.35</v>
      </c>
      <c r="E291" s="203">
        <f>C291*D291</f>
        <v>2043</v>
      </c>
    </row>
    <row r="292" spans="1:6" ht="13.5" thickBot="1" x14ac:dyDescent="0.25">
      <c r="F292" s="245">
        <f>E291</f>
        <v>2043</v>
      </c>
    </row>
    <row r="294" spans="1:6" ht="13.5" thickBot="1" x14ac:dyDescent="0.25">
      <c r="A294" s="124" t="s">
        <v>277</v>
      </c>
    </row>
    <row r="295" spans="1:6" ht="13.5" thickBot="1" x14ac:dyDescent="0.25">
      <c r="A295" s="197" t="s">
        <v>51</v>
      </c>
      <c r="B295" s="198" t="s">
        <v>52</v>
      </c>
      <c r="C295" s="198" t="s">
        <v>31</v>
      </c>
      <c r="D295" s="199" t="s">
        <v>214</v>
      </c>
      <c r="E295" s="199" t="s">
        <v>53</v>
      </c>
      <c r="F295" s="200" t="s">
        <v>54</v>
      </c>
    </row>
    <row r="296" spans="1:6" x14ac:dyDescent="0.2">
      <c r="A296" s="227" t="s">
        <v>287</v>
      </c>
      <c r="B296" s="202" t="s">
        <v>7</v>
      </c>
      <c r="C296" s="202">
        <v>2</v>
      </c>
      <c r="D296" s="203">
        <v>1200</v>
      </c>
      <c r="E296" s="203">
        <f>C296*D296</f>
        <v>2400</v>
      </c>
    </row>
    <row r="297" spans="1:6" x14ac:dyDescent="0.2">
      <c r="A297" s="227" t="s">
        <v>288</v>
      </c>
      <c r="B297" s="202" t="s">
        <v>7</v>
      </c>
      <c r="C297" s="202">
        <v>2</v>
      </c>
      <c r="D297" s="203">
        <v>2400</v>
      </c>
      <c r="E297" s="203">
        <f>C297*D297</f>
        <v>4800</v>
      </c>
    </row>
    <row r="298" spans="1:6" x14ac:dyDescent="0.2">
      <c r="A298" s="221" t="s">
        <v>289</v>
      </c>
      <c r="B298" s="222" t="s">
        <v>290</v>
      </c>
      <c r="C298" s="269">
        <v>2160</v>
      </c>
      <c r="D298" s="205">
        <f>E296+E297</f>
        <v>7200</v>
      </c>
      <c r="E298" s="205">
        <f>IFERROR(D298/C298,"-")</f>
        <v>3.3333333333333335</v>
      </c>
    </row>
    <row r="299" spans="1:6" x14ac:dyDescent="0.2">
      <c r="A299" s="185" t="s">
        <v>44</v>
      </c>
      <c r="B299" s="222" t="s">
        <v>285</v>
      </c>
      <c r="C299" s="264">
        <f>B273</f>
        <v>180</v>
      </c>
      <c r="D299" s="205">
        <f>E298</f>
        <v>3.3333333333333335</v>
      </c>
      <c r="E299" s="205">
        <f>IFERROR(C299*D299,0)</f>
        <v>600</v>
      </c>
    </row>
    <row r="300" spans="1:6" x14ac:dyDescent="0.2">
      <c r="F300" s="213">
        <f>E299</f>
        <v>600</v>
      </c>
    </row>
    <row r="302" spans="1:6" x14ac:dyDescent="0.2">
      <c r="A302" s="124" t="s">
        <v>313</v>
      </c>
    </row>
    <row r="304" spans="1:6" ht="13.5" thickBot="1" x14ac:dyDescent="0.25">
      <c r="A304" s="246" t="s">
        <v>318</v>
      </c>
    </row>
    <row r="305" spans="1:6" ht="13.5" thickBot="1" x14ac:dyDescent="0.25">
      <c r="A305" s="197" t="s">
        <v>51</v>
      </c>
      <c r="B305" s="198" t="s">
        <v>52</v>
      </c>
      <c r="C305" s="198" t="s">
        <v>31</v>
      </c>
      <c r="D305" s="199" t="s">
        <v>214</v>
      </c>
      <c r="E305" s="199" t="s">
        <v>53</v>
      </c>
      <c r="F305" s="200" t="s">
        <v>54</v>
      </c>
    </row>
    <row r="306" spans="1:6" x14ac:dyDescent="0.2">
      <c r="A306" s="227" t="s">
        <v>314</v>
      </c>
      <c r="B306" s="202" t="s">
        <v>7</v>
      </c>
      <c r="C306" s="202">
        <v>1</v>
      </c>
      <c r="D306" s="247">
        <v>35000</v>
      </c>
      <c r="E306" s="203">
        <f>C306*D306</f>
        <v>35000</v>
      </c>
    </row>
    <row r="307" spans="1:6" x14ac:dyDescent="0.2">
      <c r="A307" s="221" t="s">
        <v>316</v>
      </c>
      <c r="B307" s="204" t="s">
        <v>81</v>
      </c>
      <c r="C307" s="204">
        <v>15</v>
      </c>
      <c r="D307" s="205"/>
      <c r="E307" s="205"/>
    </row>
    <row r="308" spans="1:6" x14ac:dyDescent="0.2">
      <c r="A308" s="221" t="s">
        <v>315</v>
      </c>
      <c r="B308" s="204" t="s">
        <v>81</v>
      </c>
      <c r="C308" s="204">
        <v>0</v>
      </c>
      <c r="D308" s="205"/>
      <c r="E308" s="205"/>
      <c r="F308" s="248"/>
    </row>
    <row r="309" spans="1:6" x14ac:dyDescent="0.2">
      <c r="A309" s="221" t="s">
        <v>317</v>
      </c>
      <c r="B309" s="204" t="s">
        <v>1</v>
      </c>
      <c r="C309" s="205">
        <v>62.12</v>
      </c>
      <c r="D309" s="205">
        <f>E306</f>
        <v>35000</v>
      </c>
      <c r="E309" s="205">
        <f>C309*D309/100</f>
        <v>21742</v>
      </c>
    </row>
    <row r="310" spans="1:6" ht="13.5" thickBot="1" x14ac:dyDescent="0.25">
      <c r="A310" s="250" t="s">
        <v>259</v>
      </c>
      <c r="B310" s="251" t="s">
        <v>6</v>
      </c>
      <c r="C310" s="251">
        <f>C307*12</f>
        <v>180</v>
      </c>
      <c r="D310" s="252">
        <f>IF(C308&lt;=C307,E309,0)</f>
        <v>21742</v>
      </c>
      <c r="E310" s="252">
        <f>IFERROR(D310/C310,0)</f>
        <v>120.78888888888889</v>
      </c>
    </row>
    <row r="311" spans="1:6" ht="14.25" thickTop="1" thickBot="1" x14ac:dyDescent="0.25">
      <c r="A311" s="189" t="s">
        <v>236</v>
      </c>
      <c r="B311" s="253" t="s">
        <v>7</v>
      </c>
      <c r="C311" s="204">
        <v>1</v>
      </c>
      <c r="D311" s="213">
        <f>E310</f>
        <v>120.78888888888889</v>
      </c>
      <c r="E311" s="209">
        <f>C311*D311</f>
        <v>120.78888888888889</v>
      </c>
    </row>
    <row r="312" spans="1:6" ht="13.5" thickBot="1" x14ac:dyDescent="0.25">
      <c r="A312" s="254"/>
      <c r="B312" s="254"/>
      <c r="C312" s="254"/>
      <c r="D312" s="210" t="s">
        <v>172</v>
      </c>
      <c r="E312" s="184">
        <f>$B$51</f>
        <v>1</v>
      </c>
      <c r="F312" s="245">
        <f>E311*E312</f>
        <v>120.78888888888889</v>
      </c>
    </row>
    <row r="314" spans="1:6" ht="13.5" thickBot="1" x14ac:dyDescent="0.25">
      <c r="A314" s="246" t="s">
        <v>319</v>
      </c>
    </row>
    <row r="315" spans="1:6" ht="13.5" thickBot="1" x14ac:dyDescent="0.25">
      <c r="A315" s="255" t="s">
        <v>51</v>
      </c>
      <c r="B315" s="256" t="s">
        <v>52</v>
      </c>
      <c r="C315" s="256" t="s">
        <v>31</v>
      </c>
      <c r="D315" s="199" t="s">
        <v>214</v>
      </c>
      <c r="E315" s="257" t="s">
        <v>53</v>
      </c>
      <c r="F315" s="200" t="s">
        <v>54</v>
      </c>
    </row>
    <row r="316" spans="1:6" x14ac:dyDescent="0.2">
      <c r="A316" s="185" t="s">
        <v>86</v>
      </c>
      <c r="B316" s="204" t="s">
        <v>7</v>
      </c>
      <c r="C316" s="202">
        <v>1</v>
      </c>
      <c r="D316" s="205">
        <f>D306</f>
        <v>35000</v>
      </c>
      <c r="E316" s="205">
        <f>C316*D316</f>
        <v>35000</v>
      </c>
      <c r="F316" s="248"/>
    </row>
    <row r="317" spans="1:6" x14ac:dyDescent="0.2">
      <c r="A317" s="185" t="s">
        <v>192</v>
      </c>
      <c r="B317" s="204" t="s">
        <v>1</v>
      </c>
      <c r="C317" s="204">
        <v>6.4</v>
      </c>
      <c r="D317" s="205"/>
      <c r="E317" s="205"/>
      <c r="F317" s="248"/>
    </row>
    <row r="318" spans="1:6" x14ac:dyDescent="0.2">
      <c r="A318" s="185" t="s">
        <v>190</v>
      </c>
      <c r="B318" s="204" t="s">
        <v>26</v>
      </c>
      <c r="C318" s="258">
        <f>IFERROR(IF(C308&lt;=C307,E306-(C309/(100*C307)*C308)*E306,E306-E309),0)</f>
        <v>35000</v>
      </c>
      <c r="D318" s="205"/>
      <c r="E318" s="205"/>
      <c r="F318" s="248"/>
    </row>
    <row r="319" spans="1:6" x14ac:dyDescent="0.2">
      <c r="A319" s="185" t="s">
        <v>91</v>
      </c>
      <c r="B319" s="204" t="s">
        <v>26</v>
      </c>
      <c r="C319" s="205">
        <f>IFERROR(IF(C308&gt;=C307,C318,((((C318)-(E306-E309))*(((C307-C308)+1)/(2*(C307-C308))))+(E306-E309))),0)</f>
        <v>24853.733333333334</v>
      </c>
      <c r="D319" s="205"/>
      <c r="E319" s="205"/>
      <c r="F319" s="248"/>
    </row>
    <row r="320" spans="1:6" ht="13.5" thickBot="1" x14ac:dyDescent="0.25">
      <c r="A320" s="250" t="s">
        <v>92</v>
      </c>
      <c r="B320" s="251" t="s">
        <v>26</v>
      </c>
      <c r="C320" s="251"/>
      <c r="D320" s="252">
        <f>C317*C319/12/100</f>
        <v>132.55324444444443</v>
      </c>
      <c r="E320" s="252">
        <f>D320</f>
        <v>132.55324444444443</v>
      </c>
      <c r="F320" s="248"/>
    </row>
    <row r="321" spans="1:6" ht="14.25" thickTop="1" thickBot="1" x14ac:dyDescent="0.25">
      <c r="A321" s="189" t="s">
        <v>236</v>
      </c>
      <c r="B321" s="253" t="s">
        <v>7</v>
      </c>
      <c r="C321" s="204">
        <f>C311</f>
        <v>1</v>
      </c>
      <c r="D321" s="213">
        <f>E320</f>
        <v>132.55324444444443</v>
      </c>
      <c r="E321" s="209">
        <f>C321*D321</f>
        <v>132.55324444444443</v>
      </c>
      <c r="F321" s="248"/>
    </row>
    <row r="322" spans="1:6" ht="13.5" thickBot="1" x14ac:dyDescent="0.25">
      <c r="C322" s="259"/>
      <c r="D322" s="210" t="s">
        <v>172</v>
      </c>
      <c r="E322" s="184">
        <f>$B$51</f>
        <v>1</v>
      </c>
      <c r="F322" s="245">
        <f>E321*E322</f>
        <v>132.55324444444443</v>
      </c>
    </row>
    <row r="323" spans="1:6" ht="13.5" thickBot="1" x14ac:dyDescent="0.25"/>
    <row r="324" spans="1:6" ht="13.5" thickBot="1" x14ac:dyDescent="0.25">
      <c r="A324" s="233" t="s">
        <v>202</v>
      </c>
      <c r="B324" s="234"/>
      <c r="C324" s="234"/>
      <c r="D324" s="235"/>
      <c r="E324" s="236"/>
      <c r="F324" s="245">
        <f>+SUM(F171:F322)</f>
        <v>23445.846803066666</v>
      </c>
    </row>
    <row r="327" spans="1:6" x14ac:dyDescent="0.2">
      <c r="A327" s="195" t="s">
        <v>59</v>
      </c>
      <c r="B327" s="195"/>
      <c r="C327" s="195"/>
      <c r="D327" s="120"/>
      <c r="E327" s="120"/>
      <c r="F327" s="119"/>
    </row>
    <row r="328" spans="1:6" ht="13.5" thickBot="1" x14ac:dyDescent="0.25"/>
    <row r="329" spans="1:6" ht="13.5" thickBot="1" x14ac:dyDescent="0.25">
      <c r="A329" s="197" t="s">
        <v>51</v>
      </c>
      <c r="B329" s="198" t="s">
        <v>52</v>
      </c>
      <c r="C329" s="198" t="s">
        <v>31</v>
      </c>
      <c r="D329" s="199" t="s">
        <v>214</v>
      </c>
      <c r="E329" s="199" t="s">
        <v>53</v>
      </c>
      <c r="F329" s="200" t="s">
        <v>54</v>
      </c>
    </row>
    <row r="330" spans="1:6" x14ac:dyDescent="0.2">
      <c r="A330" s="185" t="s">
        <v>57</v>
      </c>
      <c r="B330" s="204" t="s">
        <v>7</v>
      </c>
      <c r="C330" s="271">
        <v>2</v>
      </c>
      <c r="D330" s="203">
        <v>28</v>
      </c>
      <c r="E330" s="205">
        <f>C330*D330</f>
        <v>56</v>
      </c>
      <c r="F330" s="218"/>
    </row>
    <row r="331" spans="1:6" x14ac:dyDescent="0.2">
      <c r="A331" s="185" t="s">
        <v>20</v>
      </c>
      <c r="B331" s="204" t="s">
        <v>7</v>
      </c>
      <c r="C331" s="271">
        <v>1</v>
      </c>
      <c r="D331" s="203">
        <v>35</v>
      </c>
      <c r="E331" s="205">
        <f>C331*D331</f>
        <v>35</v>
      </c>
      <c r="F331" s="218"/>
    </row>
    <row r="332" spans="1:6" x14ac:dyDescent="0.2">
      <c r="A332" s="185" t="s">
        <v>21</v>
      </c>
      <c r="B332" s="204" t="s">
        <v>7</v>
      </c>
      <c r="C332" s="271">
        <v>2</v>
      </c>
      <c r="D332" s="203">
        <v>31</v>
      </c>
      <c r="E332" s="205">
        <f>C332*D332</f>
        <v>62</v>
      </c>
      <c r="F332" s="218"/>
    </row>
    <row r="333" spans="1:6" x14ac:dyDescent="0.2">
      <c r="A333" s="221" t="s">
        <v>266</v>
      </c>
      <c r="B333" s="204" t="s">
        <v>7</v>
      </c>
      <c r="C333" s="271">
        <v>1</v>
      </c>
      <c r="D333" s="203">
        <v>320</v>
      </c>
      <c r="E333" s="205">
        <f t="shared" ref="E333:E334" si="9">C333*D333</f>
        <v>320</v>
      </c>
      <c r="F333" s="218"/>
    </row>
    <row r="334" spans="1:6" ht="13.5" thickBot="1" x14ac:dyDescent="0.25">
      <c r="A334" s="221" t="s">
        <v>320</v>
      </c>
      <c r="B334" s="204" t="s">
        <v>7</v>
      </c>
      <c r="C334" s="271">
        <v>1</v>
      </c>
      <c r="D334" s="203">
        <v>500</v>
      </c>
      <c r="E334" s="205">
        <f t="shared" si="9"/>
        <v>500</v>
      </c>
      <c r="F334" s="218"/>
    </row>
    <row r="335" spans="1:6" ht="13.5" thickBot="1" x14ac:dyDescent="0.25">
      <c r="A335" s="195"/>
      <c r="B335" s="195"/>
      <c r="C335" s="195"/>
      <c r="D335" s="195"/>
      <c r="E335" s="120"/>
      <c r="F335" s="245">
        <f>SUM(E330:E334)</f>
        <v>973</v>
      </c>
    </row>
    <row r="336" spans="1:6" ht="13.5" thickBot="1" x14ac:dyDescent="0.25"/>
    <row r="337" spans="1:6" ht="13.5" thickBot="1" x14ac:dyDescent="0.25">
      <c r="A337" s="233" t="s">
        <v>203</v>
      </c>
      <c r="B337" s="234"/>
      <c r="C337" s="234"/>
      <c r="D337" s="235"/>
      <c r="E337" s="236"/>
      <c r="F337" s="245">
        <f>+F335/12</f>
        <v>81.083333333333329</v>
      </c>
    </row>
    <row r="339" spans="1:6" x14ac:dyDescent="0.2">
      <c r="A339" s="195" t="s">
        <v>60</v>
      </c>
      <c r="B339" s="195"/>
      <c r="C339" s="195"/>
      <c r="D339" s="120"/>
      <c r="E339" s="120"/>
      <c r="F339" s="119"/>
    </row>
    <row r="340" spans="1:6" ht="13.5" thickBot="1" x14ac:dyDescent="0.25"/>
    <row r="341" spans="1:6" ht="13.5" thickBot="1" x14ac:dyDescent="0.25">
      <c r="A341" s="197" t="s">
        <v>51</v>
      </c>
      <c r="B341" s="198" t="s">
        <v>52</v>
      </c>
      <c r="C341" s="198" t="s">
        <v>31</v>
      </c>
      <c r="D341" s="199" t="s">
        <v>214</v>
      </c>
      <c r="E341" s="199" t="s">
        <v>53</v>
      </c>
      <c r="F341" s="200" t="s">
        <v>54</v>
      </c>
    </row>
    <row r="342" spans="1:6" x14ac:dyDescent="0.2">
      <c r="A342" s="185" t="s">
        <v>200</v>
      </c>
      <c r="B342" s="272" t="s">
        <v>46</v>
      </c>
      <c r="C342" s="212">
        <f>C171</f>
        <v>1</v>
      </c>
      <c r="D342" s="205">
        <v>200</v>
      </c>
      <c r="E342" s="205">
        <f>+D342*C342</f>
        <v>200</v>
      </c>
      <c r="F342" s="218"/>
    </row>
    <row r="343" spans="1:6" x14ac:dyDescent="0.2">
      <c r="A343" s="185" t="s">
        <v>48</v>
      </c>
      <c r="B343" s="272" t="s">
        <v>6</v>
      </c>
      <c r="C343" s="273">
        <v>60</v>
      </c>
      <c r="D343" s="274">
        <f>SUM(E342:E342)</f>
        <v>200</v>
      </c>
      <c r="E343" s="274">
        <f>+D343/C343</f>
        <v>3.3333333333333335</v>
      </c>
      <c r="F343" s="218"/>
    </row>
    <row r="344" spans="1:6" x14ac:dyDescent="0.2">
      <c r="A344" s="185" t="s">
        <v>201</v>
      </c>
      <c r="B344" s="204" t="s">
        <v>7</v>
      </c>
      <c r="C344" s="212">
        <f>+C342</f>
        <v>1</v>
      </c>
      <c r="D344" s="205">
        <v>75</v>
      </c>
      <c r="E344" s="205">
        <f>C344*D344</f>
        <v>75</v>
      </c>
      <c r="F344" s="218"/>
    </row>
    <row r="345" spans="1:6" ht="13.5" thickBot="1" x14ac:dyDescent="0.25">
      <c r="A345" s="185" t="s">
        <v>28</v>
      </c>
      <c r="B345" s="272" t="s">
        <v>6</v>
      </c>
      <c r="C345" s="273">
        <v>1</v>
      </c>
      <c r="D345" s="274">
        <f>+E344</f>
        <v>75</v>
      </c>
      <c r="E345" s="274">
        <f>+D345/C345</f>
        <v>75</v>
      </c>
      <c r="F345" s="218"/>
    </row>
    <row r="346" spans="1:6" ht="13.5" thickBot="1" x14ac:dyDescent="0.25">
      <c r="A346" s="275"/>
      <c r="B346" s="275"/>
      <c r="C346" s="275"/>
      <c r="D346" s="210" t="s">
        <v>172</v>
      </c>
      <c r="E346" s="184">
        <f>$B$51</f>
        <v>1</v>
      </c>
      <c r="F346" s="276">
        <f>(E343+E345)*E346</f>
        <v>78.333333333333329</v>
      </c>
    </row>
    <row r="347" spans="1:6" ht="13.5" thickBot="1" x14ac:dyDescent="0.25"/>
    <row r="348" spans="1:6" ht="13.5" thickBot="1" x14ac:dyDescent="0.25">
      <c r="A348" s="233" t="s">
        <v>199</v>
      </c>
      <c r="B348" s="234"/>
      <c r="C348" s="234"/>
      <c r="D348" s="235"/>
      <c r="E348" s="236"/>
      <c r="F348" s="245">
        <f>+F346</f>
        <v>78.333333333333329</v>
      </c>
    </row>
    <row r="349" spans="1:6" ht="13.5" thickBot="1" x14ac:dyDescent="0.25"/>
    <row r="350" spans="1:6" ht="13.5" thickBot="1" x14ac:dyDescent="0.25">
      <c r="A350" s="233" t="s">
        <v>204</v>
      </c>
      <c r="B350" s="242"/>
      <c r="C350" s="242"/>
      <c r="D350" s="243"/>
      <c r="E350" s="244"/>
      <c r="F350" s="231">
        <f>+F125+F163+F324+F337+F348</f>
        <v>86202.771927733324</v>
      </c>
    </row>
    <row r="352" spans="1:6" x14ac:dyDescent="0.2">
      <c r="A352" s="145" t="s">
        <v>75</v>
      </c>
    </row>
    <row r="353" spans="1:6" ht="13.5" thickBot="1" x14ac:dyDescent="0.25"/>
    <row r="354" spans="1:6" ht="13.5" thickBot="1" x14ac:dyDescent="0.25">
      <c r="A354" s="197" t="s">
        <v>51</v>
      </c>
      <c r="B354" s="198" t="s">
        <v>52</v>
      </c>
      <c r="C354" s="198" t="s">
        <v>31</v>
      </c>
      <c r="D354" s="199" t="s">
        <v>214</v>
      </c>
      <c r="E354" s="199" t="s">
        <v>53</v>
      </c>
      <c r="F354" s="200" t="s">
        <v>54</v>
      </c>
    </row>
    <row r="355" spans="1:6" ht="13.5" thickBot="1" x14ac:dyDescent="0.25">
      <c r="A355" s="201" t="s">
        <v>27</v>
      </c>
      <c r="B355" s="202" t="s">
        <v>1</v>
      </c>
      <c r="C355" s="205">
        <f>'4.BDI'!C18*100</f>
        <v>34.42</v>
      </c>
      <c r="D355" s="203">
        <f>+F350</f>
        <v>86202.771927733324</v>
      </c>
      <c r="E355" s="203">
        <f>C355*D355/100</f>
        <v>29670.994097525814</v>
      </c>
    </row>
    <row r="356" spans="1:6" ht="13.5" thickBot="1" x14ac:dyDescent="0.25">
      <c r="F356" s="245">
        <f>+E355</f>
        <v>29670.994097525814</v>
      </c>
    </row>
    <row r="357" spans="1:6" ht="13.5" thickBot="1" x14ac:dyDescent="0.25"/>
    <row r="358" spans="1:6" ht="13.5" thickBot="1" x14ac:dyDescent="0.25">
      <c r="A358" s="233" t="s">
        <v>215</v>
      </c>
      <c r="B358" s="242"/>
      <c r="C358" s="242"/>
      <c r="D358" s="243"/>
      <c r="E358" s="244"/>
      <c r="F358" s="231">
        <f>F356</f>
        <v>29670.994097525814</v>
      </c>
    </row>
    <row r="359" spans="1:6" x14ac:dyDescent="0.2">
      <c r="A359" s="195"/>
      <c r="B359" s="191"/>
      <c r="C359" s="191"/>
      <c r="D359" s="122"/>
      <c r="E359" s="122"/>
      <c r="F359" s="120"/>
    </row>
    <row r="360" spans="1:6" x14ac:dyDescent="0.2">
      <c r="A360" s="195" t="s">
        <v>293</v>
      </c>
      <c r="B360" s="191"/>
      <c r="C360" s="191"/>
      <c r="D360" s="122"/>
      <c r="E360" s="122"/>
      <c r="F360" s="120"/>
    </row>
    <row r="361" spans="1:6" ht="13.5" thickBot="1" x14ac:dyDescent="0.25">
      <c r="A361" s="195"/>
      <c r="B361" s="195"/>
      <c r="C361" s="195"/>
      <c r="D361" s="120"/>
      <c r="E361" s="120"/>
      <c r="F361" s="119"/>
    </row>
    <row r="362" spans="1:6" ht="16.5" thickBot="1" x14ac:dyDescent="0.25">
      <c r="A362" s="197" t="s">
        <v>51</v>
      </c>
      <c r="B362" s="277"/>
      <c r="C362" s="278" t="s">
        <v>31</v>
      </c>
      <c r="D362" s="279" t="s">
        <v>292</v>
      </c>
      <c r="E362" s="279" t="s">
        <v>53</v>
      </c>
      <c r="F362" s="200" t="s">
        <v>54</v>
      </c>
    </row>
    <row r="363" spans="1:6" ht="14.25" x14ac:dyDescent="0.2">
      <c r="A363" s="280" t="s">
        <v>268</v>
      </c>
      <c r="B363" s="281"/>
      <c r="C363" s="282">
        <v>36.01</v>
      </c>
      <c r="D363" s="283">
        <v>560</v>
      </c>
      <c r="E363" s="284">
        <f>C363*D363</f>
        <v>20165.599999999999</v>
      </c>
    </row>
    <row r="364" spans="1:6" ht="15.75" x14ac:dyDescent="0.2">
      <c r="A364" s="285" t="s">
        <v>267</v>
      </c>
      <c r="B364" s="286"/>
      <c r="C364" s="287">
        <v>557.05999999999995</v>
      </c>
      <c r="D364" s="184">
        <v>115</v>
      </c>
      <c r="E364" s="288">
        <f>C364*D364</f>
        <v>64061.899999999994</v>
      </c>
      <c r="F364" s="289"/>
    </row>
    <row r="365" spans="1:6" x14ac:dyDescent="0.2">
      <c r="A365" s="290"/>
      <c r="B365" s="191"/>
      <c r="C365" s="121"/>
      <c r="D365" s="122"/>
      <c r="E365" s="122"/>
      <c r="F365" s="188">
        <f>E364-E363</f>
        <v>43896.299999999996</v>
      </c>
    </row>
    <row r="366" spans="1:6" ht="13.5" thickBot="1" x14ac:dyDescent="0.25"/>
    <row r="367" spans="1:6" ht="13.5" thickBot="1" x14ac:dyDescent="0.25">
      <c r="A367" s="233" t="s">
        <v>205</v>
      </c>
      <c r="B367" s="242"/>
      <c r="C367" s="242"/>
      <c r="D367" s="243"/>
      <c r="E367" s="244"/>
      <c r="F367" s="231">
        <f>F350+F358+F365</f>
        <v>159770.06602525912</v>
      </c>
    </row>
    <row r="368" spans="1:6" ht="13.5" thickBot="1" x14ac:dyDescent="0.25"/>
    <row r="369" spans="1:6" ht="13.5" thickBot="1" x14ac:dyDescent="0.25">
      <c r="A369" s="233" t="s">
        <v>295</v>
      </c>
      <c r="B369" s="234"/>
      <c r="C369" s="234"/>
      <c r="D369" s="235"/>
      <c r="E369" s="291" t="s">
        <v>25</v>
      </c>
      <c r="F369" s="292">
        <f>IFERROR(F367/C364,"-")</f>
        <v>286.80943888496597</v>
      </c>
    </row>
    <row r="370" spans="1:6" x14ac:dyDescent="0.2">
      <c r="A370" s="195"/>
      <c r="B370" s="195"/>
      <c r="C370" s="195"/>
      <c r="D370" s="120"/>
      <c r="E370" s="120"/>
      <c r="F370" s="120"/>
    </row>
  </sheetData>
  <mergeCells count="7">
    <mergeCell ref="A46:D46"/>
    <mergeCell ref="A15:C15"/>
    <mergeCell ref="A2:F2"/>
    <mergeCell ref="A3:F3"/>
    <mergeCell ref="A39:D39"/>
    <mergeCell ref="A5:F5"/>
    <mergeCell ref="A38:E38"/>
  </mergeCells>
  <phoneticPr fontId="9" type="noConversion"/>
  <hyperlinks>
    <hyperlink ref="A185" location="AbaRemun" display="3.1.2. Remuneração do Capital"/>
    <hyperlink ref="A169" location="AbaDeprec" display="3.1.1. Depreciação"/>
    <hyperlink ref="A253" location="AbaRemun" display="3.1.2. Remuneração do Capital"/>
    <hyperlink ref="A243" location="AbaDeprec" display="3.1.1. Depreciação"/>
    <hyperlink ref="A314" location="AbaRemun" display="3.1.2. Remuneração do Capital"/>
    <hyperlink ref="A30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5" fitToHeight="0" orientation="portrait" r:id="rId1"/>
  <headerFooter alignWithMargins="0">
    <oddFooter>&amp;R&amp;P de &amp;N</oddFooter>
  </headerFooter>
  <rowBreaks count="5" manualBreakCount="5">
    <brk id="52" max="5" man="1"/>
    <brk id="123" max="5" man="1"/>
    <brk id="164" max="5" man="1"/>
    <brk id="239" max="5" man="1"/>
    <brk id="325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0" zoomScaleNormal="100" workbookViewId="0">
      <selection activeCell="D8" sqref="D8"/>
    </sheetView>
  </sheetViews>
  <sheetFormatPr defaultRowHeight="12.75" x14ac:dyDescent="0.2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3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3" t="s">
        <v>179</v>
      </c>
    </row>
    <row r="2" spans="1:12" x14ac:dyDescent="0.2">
      <c r="A2" s="6" t="s">
        <v>222</v>
      </c>
    </row>
    <row r="3" spans="1:12" ht="13.5" thickBot="1" x14ac:dyDescent="0.25"/>
    <row r="4" spans="1:12" ht="18" x14ac:dyDescent="0.2">
      <c r="A4" s="309" t="s">
        <v>208</v>
      </c>
      <c r="B4" s="310"/>
      <c r="C4" s="311"/>
      <c r="D4" s="11"/>
      <c r="E4" s="11"/>
      <c r="F4" s="11"/>
    </row>
    <row r="5" spans="1:12" ht="14.25" x14ac:dyDescent="0.2">
      <c r="A5" s="26" t="s">
        <v>117</v>
      </c>
      <c r="B5" s="27" t="s">
        <v>118</v>
      </c>
      <c r="C5" s="28" t="s">
        <v>119</v>
      </c>
      <c r="D5" s="29"/>
    </row>
    <row r="6" spans="1:12" ht="14.25" x14ac:dyDescent="0.2">
      <c r="A6" s="26" t="s">
        <v>120</v>
      </c>
      <c r="B6" s="27" t="s">
        <v>32</v>
      </c>
      <c r="C6" s="30">
        <v>0.2</v>
      </c>
      <c r="D6" s="29"/>
      <c r="F6" s="13"/>
      <c r="G6" s="13"/>
      <c r="H6" s="13"/>
      <c r="I6" s="13"/>
      <c r="J6" s="13"/>
      <c r="K6" s="13"/>
      <c r="L6" s="13"/>
    </row>
    <row r="7" spans="1:12" ht="14.25" x14ac:dyDescent="0.2">
      <c r="A7" s="26" t="s">
        <v>121</v>
      </c>
      <c r="B7" s="27" t="s">
        <v>122</v>
      </c>
      <c r="C7" s="30">
        <v>1.4999999999999999E-2</v>
      </c>
      <c r="D7" s="29"/>
      <c r="F7" s="13"/>
      <c r="G7" s="13"/>
      <c r="H7" s="13"/>
      <c r="I7" s="13"/>
      <c r="J7" s="13"/>
      <c r="K7" s="13"/>
      <c r="L7" s="13"/>
    </row>
    <row r="8" spans="1:12" ht="14.25" x14ac:dyDescent="0.2">
      <c r="A8" s="26" t="s">
        <v>123</v>
      </c>
      <c r="B8" s="27" t="s">
        <v>124</v>
      </c>
      <c r="C8" s="30">
        <v>0.01</v>
      </c>
      <c r="D8" s="29"/>
      <c r="F8" s="13"/>
      <c r="G8" s="13"/>
      <c r="H8" s="13"/>
      <c r="I8" s="13"/>
      <c r="J8" s="13"/>
      <c r="K8" s="13"/>
      <c r="L8" s="13"/>
    </row>
    <row r="9" spans="1:12" ht="14.25" x14ac:dyDescent="0.2">
      <c r="A9" s="26" t="s">
        <v>125</v>
      </c>
      <c r="B9" s="27" t="s">
        <v>126</v>
      </c>
      <c r="C9" s="30">
        <v>2E-3</v>
      </c>
      <c r="D9" s="29"/>
      <c r="F9" s="13"/>
      <c r="G9" s="13"/>
      <c r="H9" s="13"/>
      <c r="I9" s="13"/>
      <c r="J9" s="13"/>
      <c r="K9" s="13"/>
      <c r="L9" s="13"/>
    </row>
    <row r="10" spans="1:12" ht="14.25" x14ac:dyDescent="0.2">
      <c r="A10" s="26" t="s">
        <v>127</v>
      </c>
      <c r="B10" s="27" t="s">
        <v>128</v>
      </c>
      <c r="C10" s="30">
        <v>6.0000000000000001E-3</v>
      </c>
      <c r="D10" s="29"/>
      <c r="F10" s="13"/>
      <c r="G10" s="13"/>
      <c r="H10" s="13"/>
      <c r="I10" s="13"/>
      <c r="J10" s="13"/>
      <c r="K10" s="13"/>
      <c r="L10" s="13"/>
    </row>
    <row r="11" spans="1:12" ht="14.25" x14ac:dyDescent="0.2">
      <c r="A11" s="26" t="s">
        <v>129</v>
      </c>
      <c r="B11" s="27" t="s">
        <v>130</v>
      </c>
      <c r="C11" s="30">
        <v>2.5000000000000001E-2</v>
      </c>
      <c r="D11" s="29"/>
      <c r="F11" s="13"/>
      <c r="G11" s="13"/>
      <c r="H11" s="13"/>
      <c r="I11" s="13"/>
      <c r="J11" s="13"/>
      <c r="K11" s="13"/>
      <c r="L11" s="13"/>
    </row>
    <row r="12" spans="1:12" ht="14.25" x14ac:dyDescent="0.2">
      <c r="A12" s="26" t="s">
        <v>131</v>
      </c>
      <c r="B12" s="27" t="s">
        <v>132</v>
      </c>
      <c r="C12" s="30">
        <v>0.03</v>
      </c>
      <c r="D12" s="29"/>
      <c r="F12" s="13"/>
      <c r="G12" s="13"/>
      <c r="H12" s="13"/>
      <c r="I12" s="13"/>
      <c r="J12" s="13"/>
      <c r="K12" s="13"/>
      <c r="L12" s="13"/>
    </row>
    <row r="13" spans="1:12" ht="14.25" x14ac:dyDescent="0.2">
      <c r="A13" s="26" t="s">
        <v>133</v>
      </c>
      <c r="B13" s="27" t="s">
        <v>33</v>
      </c>
      <c r="C13" s="30">
        <v>0.08</v>
      </c>
      <c r="D13" s="31"/>
      <c r="F13" s="13"/>
      <c r="G13" s="13"/>
      <c r="H13" s="13"/>
      <c r="I13" s="13"/>
      <c r="J13" s="13"/>
      <c r="K13" s="13"/>
      <c r="L13" s="13"/>
    </row>
    <row r="14" spans="1:12" ht="15" x14ac:dyDescent="0.2">
      <c r="A14" s="26" t="s">
        <v>134</v>
      </c>
      <c r="B14" s="32" t="s">
        <v>135</v>
      </c>
      <c r="C14" s="33">
        <f>SUM(C6:C13)</f>
        <v>0.36800000000000005</v>
      </c>
      <c r="D14" s="31"/>
      <c r="F14" s="13"/>
      <c r="G14" s="13"/>
      <c r="H14" s="13"/>
      <c r="I14" s="13"/>
      <c r="J14" s="13"/>
      <c r="K14" s="13"/>
      <c r="L14" s="13"/>
    </row>
    <row r="15" spans="1:12" ht="15" x14ac:dyDescent="0.2">
      <c r="A15" s="34"/>
      <c r="B15" s="35"/>
      <c r="C15" s="36"/>
      <c r="D15" s="31"/>
      <c r="F15" s="13"/>
      <c r="G15" s="13"/>
      <c r="H15" s="13"/>
      <c r="I15" s="13"/>
      <c r="J15" s="13"/>
      <c r="K15" s="13"/>
      <c r="L15" s="13"/>
    </row>
    <row r="16" spans="1:12" ht="14.25" x14ac:dyDescent="0.2">
      <c r="A16" s="26" t="s">
        <v>136</v>
      </c>
      <c r="B16" s="37" t="s">
        <v>137</v>
      </c>
      <c r="C16" s="30">
        <f>ROUND(IF('3.CAGED'!C39&gt;24,(1-12/'3.CAGED'!C39)*0.1111,0.1111-C25),4)</f>
        <v>5.74E-2</v>
      </c>
      <c r="D16" s="31"/>
      <c r="F16" s="13"/>
      <c r="G16" s="13"/>
      <c r="H16" s="13"/>
      <c r="I16" s="13"/>
      <c r="J16" s="13"/>
      <c r="K16" s="13"/>
      <c r="L16" s="13"/>
    </row>
    <row r="17" spans="1:12" ht="14.25" x14ac:dyDescent="0.2">
      <c r="A17" s="26" t="s">
        <v>138</v>
      </c>
      <c r="B17" s="37" t="s">
        <v>139</v>
      </c>
      <c r="C17" s="30">
        <f>ROUND('3.CAGED'!C33/'3.CAGED'!C30,4)</f>
        <v>8.3299999999999999E-2</v>
      </c>
      <c r="D17" s="31"/>
      <c r="F17" s="13"/>
      <c r="G17" s="13"/>
      <c r="H17" s="13"/>
      <c r="I17" s="13"/>
      <c r="J17" s="13"/>
      <c r="K17" s="13"/>
      <c r="L17" s="13"/>
    </row>
    <row r="18" spans="1:12" ht="14.25" x14ac:dyDescent="0.2">
      <c r="A18" s="26" t="s">
        <v>198</v>
      </c>
      <c r="B18" s="37" t="s">
        <v>141</v>
      </c>
      <c r="C18" s="30">
        <v>5.9999999999999995E-4</v>
      </c>
      <c r="D18" s="31"/>
      <c r="F18" s="13"/>
      <c r="G18" s="13"/>
      <c r="H18" s="13"/>
      <c r="I18" s="13"/>
      <c r="J18" s="13"/>
      <c r="K18" s="13"/>
      <c r="L18" s="13"/>
    </row>
    <row r="19" spans="1:12" ht="14.25" x14ac:dyDescent="0.2">
      <c r="A19" s="26" t="s">
        <v>140</v>
      </c>
      <c r="B19" s="37" t="s">
        <v>143</v>
      </c>
      <c r="C19" s="30">
        <v>8.2000000000000007E-3</v>
      </c>
      <c r="D19" s="31"/>
      <c r="F19" s="13"/>
      <c r="G19" s="13"/>
      <c r="H19" s="13"/>
      <c r="I19" s="13"/>
      <c r="J19" s="13"/>
      <c r="K19" s="13"/>
      <c r="L19" s="13"/>
    </row>
    <row r="20" spans="1:12" ht="14.25" x14ac:dyDescent="0.2">
      <c r="A20" s="26" t="s">
        <v>142</v>
      </c>
      <c r="B20" s="37" t="s">
        <v>145</v>
      </c>
      <c r="C20" s="30">
        <v>3.0999999999999999E-3</v>
      </c>
      <c r="D20" s="31"/>
      <c r="F20" s="13"/>
      <c r="G20" s="13"/>
      <c r="H20" s="13"/>
      <c r="I20" s="13"/>
      <c r="J20" s="13"/>
      <c r="K20" s="13"/>
      <c r="L20" s="13"/>
    </row>
    <row r="21" spans="1:12" ht="14.25" x14ac:dyDescent="0.2">
      <c r="A21" s="26" t="s">
        <v>144</v>
      </c>
      <c r="B21" s="37" t="s">
        <v>146</v>
      </c>
      <c r="C21" s="30">
        <v>1.66E-2</v>
      </c>
      <c r="D21" s="31"/>
      <c r="F21" s="13"/>
      <c r="G21" s="13"/>
      <c r="H21" s="13"/>
      <c r="I21" s="13"/>
      <c r="J21" s="13"/>
      <c r="K21" s="13"/>
      <c r="L21" s="13"/>
    </row>
    <row r="22" spans="1:12" ht="15" x14ac:dyDescent="0.2">
      <c r="A22" s="26" t="s">
        <v>147</v>
      </c>
      <c r="B22" s="32" t="s">
        <v>148</v>
      </c>
      <c r="C22" s="33">
        <f>SUM(C16:C21)</f>
        <v>0.16919999999999999</v>
      </c>
      <c r="D22" s="38"/>
      <c r="F22" s="13"/>
      <c r="G22" s="13"/>
      <c r="H22" s="13"/>
      <c r="I22" s="13"/>
      <c r="J22" s="13"/>
      <c r="K22" s="13"/>
      <c r="L22" s="13"/>
    </row>
    <row r="23" spans="1:12" ht="15" x14ac:dyDescent="0.2">
      <c r="A23" s="34"/>
      <c r="B23" s="35"/>
      <c r="C23" s="36"/>
      <c r="D23" s="38"/>
      <c r="F23" s="13"/>
      <c r="G23" s="13"/>
      <c r="H23" s="13"/>
      <c r="I23" s="13"/>
      <c r="J23" s="13"/>
      <c r="K23" s="13"/>
      <c r="L23" s="13"/>
    </row>
    <row r="24" spans="1:12" ht="14.25" x14ac:dyDescent="0.2">
      <c r="A24" s="26" t="s">
        <v>149</v>
      </c>
      <c r="B24" s="27" t="s">
        <v>150</v>
      </c>
      <c r="C24" s="30">
        <f>ROUND(('3.CAGED'!C38) *'3.CAGED'!C29/'3.CAGED'!C30,4)</f>
        <v>3.9E-2</v>
      </c>
      <c r="D24" s="31"/>
      <c r="E24" s="39"/>
      <c r="F24" s="13"/>
      <c r="G24" s="13"/>
      <c r="H24" s="13"/>
      <c r="I24" s="13"/>
      <c r="J24" s="13"/>
      <c r="K24" s="13"/>
      <c r="L24" s="13"/>
    </row>
    <row r="25" spans="1:12" ht="14.25" x14ac:dyDescent="0.2">
      <c r="A25" s="26" t="s">
        <v>197</v>
      </c>
      <c r="B25" s="27" t="s">
        <v>152</v>
      </c>
      <c r="C25" s="30">
        <f>ROUND(IF('3.CAGED'!C39&gt;12,12/'3.CAGED'!C39*0.1111,0.1111),4)</f>
        <v>5.3699999999999998E-2</v>
      </c>
      <c r="D25" s="31"/>
      <c r="F25" s="13"/>
      <c r="G25" s="13"/>
      <c r="H25" s="40"/>
      <c r="I25" s="13"/>
      <c r="J25" s="13"/>
      <c r="K25" s="13"/>
      <c r="L25" s="13"/>
    </row>
    <row r="26" spans="1:12" ht="14.25" x14ac:dyDescent="0.2">
      <c r="A26" s="26" t="s">
        <v>151</v>
      </c>
      <c r="B26" s="27" t="s">
        <v>154</v>
      </c>
      <c r="C26" s="30">
        <f>ROUND(('3.CAGED'!C32+'3.CAGED'!C31)/360*C24,4)</f>
        <v>4.3E-3</v>
      </c>
      <c r="D26" s="31"/>
      <c r="F26" s="13"/>
      <c r="G26" s="13"/>
      <c r="H26" s="13"/>
      <c r="I26" s="13"/>
      <c r="J26" s="13"/>
      <c r="K26" s="13"/>
      <c r="L26" s="13"/>
    </row>
    <row r="27" spans="1:12" ht="14.25" x14ac:dyDescent="0.2">
      <c r="A27" s="26" t="s">
        <v>153</v>
      </c>
      <c r="B27" s="27" t="s">
        <v>156</v>
      </c>
      <c r="C27" s="30">
        <f>ROUND(('3.CAGED'!C30+'3.CAGED'!C31+'3.CAGED'!C33)/'3.CAGED'!C28*'3.CAGED'!C35*'3.CAGED'!C36*'3.CAGED'!C29/'3.CAGED'!C30,4)</f>
        <v>3.5900000000000001E-2</v>
      </c>
      <c r="D27" s="31"/>
      <c r="F27" s="13"/>
      <c r="G27" s="41"/>
      <c r="H27" s="13"/>
      <c r="I27" s="13"/>
      <c r="J27" s="13"/>
      <c r="K27" s="13"/>
      <c r="L27" s="13"/>
    </row>
    <row r="28" spans="1:12" ht="14.25" x14ac:dyDescent="0.2">
      <c r="A28" s="26" t="s">
        <v>155</v>
      </c>
      <c r="B28" s="27" t="s">
        <v>157</v>
      </c>
      <c r="C28" s="30">
        <f>ROUND(('3.CAGED'!C32/'3.CAGED'!C30)*'3.CAGED'!C29/12,4)</f>
        <v>2.7000000000000001E-3</v>
      </c>
      <c r="D28" s="31"/>
      <c r="F28" s="13"/>
      <c r="G28" s="13"/>
      <c r="H28" s="13"/>
      <c r="I28" s="13"/>
      <c r="J28" s="13"/>
      <c r="K28" s="13"/>
      <c r="L28" s="13"/>
    </row>
    <row r="29" spans="1:12" ht="15" x14ac:dyDescent="0.2">
      <c r="A29" s="26" t="s">
        <v>158</v>
      </c>
      <c r="B29" s="32" t="s">
        <v>159</v>
      </c>
      <c r="C29" s="33">
        <f>SUM(C24:C28)</f>
        <v>0.13560000000000003</v>
      </c>
      <c r="D29" s="38"/>
      <c r="F29" s="13"/>
      <c r="G29" s="13"/>
      <c r="H29" s="13"/>
      <c r="I29" s="13"/>
      <c r="J29" s="13"/>
      <c r="K29" s="13"/>
      <c r="L29" s="13"/>
    </row>
    <row r="30" spans="1:12" ht="15" x14ac:dyDescent="0.2">
      <c r="A30" s="34"/>
      <c r="B30" s="35"/>
      <c r="C30" s="36"/>
      <c r="D30" s="38"/>
      <c r="F30" s="13"/>
      <c r="G30" s="13"/>
      <c r="H30" s="13"/>
      <c r="I30" s="13"/>
      <c r="J30" s="13"/>
      <c r="K30" s="13"/>
      <c r="L30" s="13"/>
    </row>
    <row r="31" spans="1:12" ht="14.25" x14ac:dyDescent="0.2">
      <c r="A31" s="26" t="s">
        <v>160</v>
      </c>
      <c r="B31" s="27" t="s">
        <v>161</v>
      </c>
      <c r="C31" s="30">
        <f>ROUND(C14*C22,4)</f>
        <v>6.2300000000000001E-2</v>
      </c>
      <c r="D31" s="31"/>
      <c r="F31" s="13"/>
      <c r="G31" s="13"/>
      <c r="H31" s="13"/>
      <c r="I31" s="13"/>
      <c r="J31" s="13"/>
      <c r="K31" s="13"/>
      <c r="L31" s="13"/>
    </row>
    <row r="32" spans="1:12" ht="28.5" x14ac:dyDescent="0.2">
      <c r="A32" s="26" t="s">
        <v>162</v>
      </c>
      <c r="B32" s="42" t="s">
        <v>163</v>
      </c>
      <c r="C32" s="30">
        <f>ROUND((C24*C14),4)</f>
        <v>1.44E-2</v>
      </c>
      <c r="D32" s="31"/>
      <c r="F32" s="13"/>
      <c r="G32" s="13"/>
      <c r="H32" s="13"/>
      <c r="I32" s="13"/>
      <c r="J32" s="13"/>
      <c r="K32" s="13"/>
      <c r="L32" s="13"/>
    </row>
    <row r="33" spans="1:12" ht="15" x14ac:dyDescent="0.2">
      <c r="A33" s="26" t="s">
        <v>164</v>
      </c>
      <c r="B33" s="32" t="s">
        <v>165</v>
      </c>
      <c r="C33" s="33">
        <f>SUM(C31:C32)</f>
        <v>7.6700000000000004E-2</v>
      </c>
      <c r="D33" s="43"/>
      <c r="F33" s="13"/>
      <c r="G33" s="13"/>
      <c r="H33" s="13"/>
      <c r="I33" s="13"/>
      <c r="J33" s="13"/>
      <c r="K33" s="13"/>
      <c r="L33" s="13"/>
    </row>
    <row r="34" spans="1:12" ht="15.75" thickBot="1" x14ac:dyDescent="0.25">
      <c r="A34" s="44"/>
      <c r="B34" s="45" t="s">
        <v>166</v>
      </c>
      <c r="C34" s="46">
        <f>C33+C29+C22+C14</f>
        <v>0.74950000000000006</v>
      </c>
      <c r="D34" s="43"/>
      <c r="F34" s="13"/>
      <c r="G34" s="13"/>
      <c r="H34" s="13"/>
      <c r="I34" s="13"/>
      <c r="J34" s="13"/>
      <c r="K34" s="13"/>
      <c r="L34" s="13"/>
    </row>
    <row r="35" spans="1:12" ht="15" x14ac:dyDescent="0.2">
      <c r="A35" s="31"/>
      <c r="B35" s="47"/>
      <c r="C35" s="48"/>
      <c r="D35" s="49"/>
      <c r="F35" s="13"/>
      <c r="G35" s="13"/>
      <c r="H35" s="13"/>
      <c r="I35" s="13"/>
      <c r="J35" s="13"/>
      <c r="K35" s="13"/>
      <c r="L35" s="13"/>
    </row>
    <row r="36" spans="1:12" ht="14.25" x14ac:dyDescent="0.2">
      <c r="A36" s="31"/>
      <c r="B36" s="31"/>
      <c r="C36" s="50"/>
      <c r="D36" s="51"/>
      <c r="F36" s="13"/>
      <c r="G36" s="13"/>
      <c r="H36" s="13"/>
      <c r="I36" s="13"/>
      <c r="J36" s="13"/>
      <c r="K36" s="13"/>
      <c r="L36" s="13"/>
    </row>
    <row r="37" spans="1:12" ht="14.25" x14ac:dyDescent="0.2">
      <c r="A37" s="29"/>
      <c r="B37" s="29"/>
      <c r="C37" s="52"/>
      <c r="D37" s="29"/>
      <c r="F37" s="13"/>
      <c r="G37" s="13"/>
      <c r="H37" s="13"/>
      <c r="I37" s="13"/>
      <c r="J37" s="13"/>
      <c r="K37" s="13"/>
      <c r="L37" s="13"/>
    </row>
    <row r="38" spans="1:12" ht="14.25" x14ac:dyDescent="0.2">
      <c r="A38" s="29"/>
      <c r="B38" s="29"/>
      <c r="C38" s="52"/>
      <c r="D38" s="29"/>
      <c r="F38" s="13"/>
      <c r="G38" s="13"/>
      <c r="H38" s="13"/>
      <c r="I38" s="13"/>
      <c r="J38" s="13"/>
      <c r="K38" s="13"/>
      <c r="L38" s="13"/>
    </row>
    <row r="39" spans="1:12" ht="14.25" x14ac:dyDescent="0.2">
      <c r="A39" s="29"/>
      <c r="B39" s="29"/>
      <c r="C39" s="52"/>
      <c r="D39" s="29"/>
      <c r="F39" s="13"/>
      <c r="G39" s="13"/>
      <c r="H39" s="13"/>
      <c r="I39" s="13"/>
      <c r="J39" s="13"/>
      <c r="K39" s="13"/>
      <c r="L39" s="13"/>
    </row>
    <row r="40" spans="1:12" ht="15" x14ac:dyDescent="0.2">
      <c r="A40" s="29"/>
      <c r="B40" s="53"/>
      <c r="C40" s="54"/>
      <c r="D40" s="29"/>
      <c r="F40" s="13"/>
      <c r="G40" s="13"/>
      <c r="H40" s="13"/>
      <c r="I40" s="13"/>
      <c r="J40" s="13"/>
      <c r="K40" s="13"/>
      <c r="L40" s="13"/>
    </row>
    <row r="41" spans="1:12" ht="15" x14ac:dyDescent="0.2">
      <c r="A41" s="43"/>
      <c r="B41" s="53"/>
      <c r="C41" s="54"/>
      <c r="D41" s="43"/>
      <c r="E41" s="13"/>
      <c r="F41" s="13"/>
      <c r="G41" s="13"/>
      <c r="H41" s="13"/>
      <c r="I41" s="13"/>
      <c r="J41" s="13"/>
      <c r="K41" s="13"/>
      <c r="L41" s="13"/>
    </row>
    <row r="42" spans="1:12" ht="16.5" x14ac:dyDescent="0.2">
      <c r="A42" s="55"/>
      <c r="B42" s="13"/>
      <c r="C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">
      <c r="A43" s="56"/>
      <c r="B43" s="57"/>
      <c r="C43" s="57"/>
      <c r="E43" s="13"/>
      <c r="F43" s="13"/>
      <c r="G43" s="13"/>
      <c r="H43" s="13"/>
      <c r="I43" s="13"/>
      <c r="J43" s="13"/>
      <c r="K43" s="13"/>
      <c r="L43" s="13"/>
    </row>
    <row r="44" spans="1:12" ht="14.25" x14ac:dyDescent="0.2">
      <c r="A44" s="29"/>
      <c r="B44" s="58"/>
      <c r="C44" s="57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9"/>
      <c r="B45" s="58"/>
      <c r="C45" s="29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9"/>
      <c r="B46" s="52"/>
      <c r="C46" s="57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9"/>
      <c r="B47" s="58"/>
      <c r="C47" s="29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9"/>
      <c r="B48" s="52"/>
      <c r="C48" s="57"/>
      <c r="E48" s="13"/>
      <c r="F48" s="13"/>
      <c r="G48" s="13"/>
      <c r="H48" s="13"/>
      <c r="I48" s="13"/>
      <c r="J48" s="13"/>
      <c r="K48" s="13"/>
      <c r="L48" s="13"/>
    </row>
    <row r="49" spans="1:12" ht="14.25" x14ac:dyDescent="0.2">
      <c r="A49" s="29"/>
      <c r="B49" s="58"/>
      <c r="C49" s="29"/>
      <c r="E49" s="13"/>
      <c r="F49" s="13"/>
      <c r="G49" s="13"/>
      <c r="H49" s="13"/>
      <c r="I49" s="13"/>
      <c r="J49" s="13"/>
      <c r="K49" s="13"/>
      <c r="L49" s="13"/>
    </row>
    <row r="50" spans="1:12" ht="14.25" x14ac:dyDescent="0.2">
      <c r="A50" s="29"/>
      <c r="B50" s="52"/>
      <c r="C50" s="57"/>
      <c r="E50" s="13"/>
      <c r="F50" s="13"/>
      <c r="G50" s="13"/>
      <c r="H50" s="13"/>
      <c r="I50" s="13"/>
      <c r="J50" s="13"/>
      <c r="K50" s="13"/>
      <c r="L50" s="13"/>
    </row>
    <row r="51" spans="1:12" ht="14.25" x14ac:dyDescent="0.2">
      <c r="A51" s="29"/>
      <c r="B51" s="58"/>
      <c r="C51" s="29"/>
      <c r="E51" s="13"/>
      <c r="F51" s="13"/>
      <c r="G51" s="13"/>
      <c r="H51" s="13"/>
      <c r="I51" s="13"/>
      <c r="J51" s="13"/>
      <c r="K51" s="13"/>
      <c r="L51" s="13"/>
    </row>
    <row r="52" spans="1:12" ht="14.25" x14ac:dyDescent="0.2">
      <c r="A52" s="29"/>
      <c r="B52" s="52"/>
      <c r="C52" s="57"/>
      <c r="E52" s="13"/>
      <c r="F52" s="13"/>
      <c r="G52" s="13"/>
      <c r="H52" s="13"/>
      <c r="I52" s="13"/>
      <c r="J52" s="13"/>
      <c r="K52" s="13"/>
      <c r="L52" s="13"/>
    </row>
    <row r="53" spans="1:12" ht="16.5" x14ac:dyDescent="0.2">
      <c r="A53" s="55"/>
      <c r="B53" s="13"/>
      <c r="C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59"/>
      <c r="B56" s="13"/>
      <c r="C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E57" s="13"/>
    </row>
    <row r="58" spans="1:12" x14ac:dyDescent="0.2">
      <c r="A58" s="13"/>
      <c r="B58" s="13"/>
      <c r="C58" s="13"/>
      <c r="E58" s="13"/>
    </row>
    <row r="59" spans="1:12" x14ac:dyDescent="0.2">
      <c r="A59" s="13"/>
      <c r="B59" s="13"/>
      <c r="C59" s="13"/>
      <c r="E59" s="13"/>
    </row>
    <row r="60" spans="1:12" x14ac:dyDescent="0.2">
      <c r="A60" s="13"/>
      <c r="B60" s="13"/>
      <c r="C60" s="13"/>
      <c r="E60" s="13"/>
    </row>
    <row r="61" spans="1:12" x14ac:dyDescent="0.2">
      <c r="A61" s="13"/>
      <c r="B61" s="13"/>
      <c r="C61" s="13"/>
      <c r="E61" s="13"/>
    </row>
    <row r="62" spans="1:12" x14ac:dyDescent="0.2">
      <c r="A62" s="13"/>
      <c r="B62" s="13"/>
      <c r="C62" s="13"/>
      <c r="E62" s="13"/>
    </row>
    <row r="63" spans="1:12" x14ac:dyDescent="0.2">
      <c r="A63" s="13"/>
      <c r="B63" s="13"/>
      <c r="C63" s="13"/>
      <c r="E63" s="13"/>
    </row>
    <row r="64" spans="1:12" x14ac:dyDescent="0.2">
      <c r="A64" s="13"/>
      <c r="B64" s="13"/>
      <c r="C64" s="13"/>
      <c r="E64" s="13"/>
    </row>
    <row r="65" spans="1:5" x14ac:dyDescent="0.2">
      <c r="A65" s="13"/>
      <c r="B65" s="13"/>
      <c r="C65" s="13"/>
      <c r="E65" s="13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opLeftCell="A13" zoomScaleNormal="100" workbookViewId="0">
      <selection activeCell="B25" sqref="B2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4" t="s">
        <v>216</v>
      </c>
    </row>
    <row r="3" spans="1:3" x14ac:dyDescent="0.2">
      <c r="A3" s="1" t="s">
        <v>187</v>
      </c>
    </row>
    <row r="4" spans="1:3" x14ac:dyDescent="0.2">
      <c r="A4" s="114" t="s">
        <v>183</v>
      </c>
    </row>
    <row r="5" spans="1:3" ht="25.5" customHeight="1" x14ac:dyDescent="0.2">
      <c r="A5" s="315" t="s">
        <v>231</v>
      </c>
      <c r="B5" s="314"/>
      <c r="C5" s="314"/>
    </row>
    <row r="6" spans="1:3" x14ac:dyDescent="0.2">
      <c r="A6" s="1" t="s">
        <v>184</v>
      </c>
    </row>
    <row r="7" spans="1:3" ht="26.25" customHeight="1" x14ac:dyDescent="0.2">
      <c r="A7" s="314" t="s">
        <v>185</v>
      </c>
      <c r="B7" s="314"/>
      <c r="C7" s="314"/>
    </row>
    <row r="8" spans="1:3" x14ac:dyDescent="0.2">
      <c r="A8" s="1" t="s">
        <v>186</v>
      </c>
    </row>
    <row r="9" spans="1:3" x14ac:dyDescent="0.2">
      <c r="A9" s="1" t="s">
        <v>217</v>
      </c>
    </row>
    <row r="10" spans="1:3" ht="13.5" thickBot="1" x14ac:dyDescent="0.25"/>
    <row r="11" spans="1:3" ht="18" x14ac:dyDescent="0.25">
      <c r="B11" s="312" t="s">
        <v>206</v>
      </c>
      <c r="C11" s="313"/>
    </row>
    <row r="12" spans="1:3" ht="15" x14ac:dyDescent="0.25">
      <c r="A12" s="13"/>
      <c r="B12" s="12" t="s">
        <v>182</v>
      </c>
      <c r="C12" s="60"/>
    </row>
    <row r="13" spans="1:3" ht="15" x14ac:dyDescent="0.25">
      <c r="A13" s="13"/>
      <c r="B13" s="14" t="s">
        <v>98</v>
      </c>
      <c r="C13" s="15">
        <v>2486</v>
      </c>
    </row>
    <row r="14" spans="1:3" ht="15" x14ac:dyDescent="0.25">
      <c r="A14" s="13"/>
      <c r="B14" s="16" t="s">
        <v>99</v>
      </c>
      <c r="C14" s="15">
        <v>3303</v>
      </c>
    </row>
    <row r="15" spans="1:3" ht="14.25" x14ac:dyDescent="0.2">
      <c r="A15" s="13"/>
      <c r="B15" s="61" t="s">
        <v>100</v>
      </c>
      <c r="C15" s="62">
        <v>81</v>
      </c>
    </row>
    <row r="16" spans="1:3" ht="14.25" x14ac:dyDescent="0.2">
      <c r="A16" s="13"/>
      <c r="B16" s="61" t="s">
        <v>101</v>
      </c>
      <c r="C16" s="62">
        <v>2336</v>
      </c>
    </row>
    <row r="17" spans="1:7" ht="14.25" x14ac:dyDescent="0.2">
      <c r="A17" s="13"/>
      <c r="B17" s="61" t="s">
        <v>102</v>
      </c>
      <c r="C17" s="62">
        <v>342</v>
      </c>
    </row>
    <row r="18" spans="1:7" ht="14.25" x14ac:dyDescent="0.2">
      <c r="A18" s="13"/>
      <c r="B18" s="61" t="s">
        <v>103</v>
      </c>
      <c r="C18" s="62">
        <v>18</v>
      </c>
    </row>
    <row r="19" spans="1:7" ht="14.25" x14ac:dyDescent="0.2">
      <c r="A19" s="13"/>
      <c r="B19" s="61" t="s">
        <v>104</v>
      </c>
      <c r="C19" s="62">
        <v>500</v>
      </c>
    </row>
    <row r="20" spans="1:7" ht="14.25" x14ac:dyDescent="0.2">
      <c r="A20" s="13"/>
      <c r="B20" s="61" t="s">
        <v>105</v>
      </c>
      <c r="C20" s="62">
        <v>1</v>
      </c>
    </row>
    <row r="21" spans="1:7" ht="14.25" x14ac:dyDescent="0.2">
      <c r="A21" s="13"/>
      <c r="B21" s="61" t="s">
        <v>106</v>
      </c>
      <c r="C21" s="62">
        <v>25</v>
      </c>
    </row>
    <row r="22" spans="1:7" ht="14.25" x14ac:dyDescent="0.2">
      <c r="A22" s="13"/>
      <c r="B22" s="63" t="s">
        <v>107</v>
      </c>
      <c r="C22" s="64">
        <v>0</v>
      </c>
    </row>
    <row r="23" spans="1:7" ht="15" x14ac:dyDescent="0.25">
      <c r="A23" s="13" t="s">
        <v>108</v>
      </c>
      <c r="B23" s="12" t="s">
        <v>109</v>
      </c>
      <c r="C23" s="60"/>
    </row>
    <row r="24" spans="1:7" ht="14.25" x14ac:dyDescent="0.2">
      <c r="A24" s="13"/>
      <c r="B24" s="65" t="s">
        <v>237</v>
      </c>
      <c r="C24" s="66">
        <v>6400</v>
      </c>
    </row>
    <row r="25" spans="1:7" ht="14.25" x14ac:dyDescent="0.2">
      <c r="A25" s="13"/>
      <c r="B25" s="61" t="s">
        <v>238</v>
      </c>
      <c r="C25" s="62">
        <v>5583</v>
      </c>
    </row>
    <row r="26" spans="1:7" ht="14.25" x14ac:dyDescent="0.2">
      <c r="B26" s="61" t="s">
        <v>239</v>
      </c>
      <c r="C26" s="62">
        <v>-817</v>
      </c>
    </row>
    <row r="27" spans="1:7" ht="14.25" x14ac:dyDescent="0.2">
      <c r="B27" s="67"/>
      <c r="C27" s="68"/>
    </row>
    <row r="28" spans="1:7" ht="15" x14ac:dyDescent="0.25">
      <c r="B28" s="17" t="s">
        <v>110</v>
      </c>
      <c r="C28" s="115">
        <f>MEDIAN(C13,C14)/MEDIAN(C24,C25)</f>
        <v>0.48310105983476592</v>
      </c>
      <c r="G28" s="1">
        <f>12/C28</f>
        <v>24.839523233719124</v>
      </c>
    </row>
    <row r="29" spans="1:7" ht="15" x14ac:dyDescent="0.25">
      <c r="B29" s="14" t="s">
        <v>111</v>
      </c>
      <c r="C29" s="115">
        <f>C16/MEDIAN(C24,C25)</f>
        <v>0.38988567136777103</v>
      </c>
    </row>
    <row r="30" spans="1:7" ht="15" x14ac:dyDescent="0.25">
      <c r="B30" s="19" t="s">
        <v>112</v>
      </c>
      <c r="C30" s="18">
        <v>360</v>
      </c>
    </row>
    <row r="31" spans="1:7" ht="15" x14ac:dyDescent="0.25">
      <c r="B31" s="14" t="s">
        <v>218</v>
      </c>
      <c r="C31" s="18">
        <v>10</v>
      </c>
    </row>
    <row r="32" spans="1:7" ht="15" x14ac:dyDescent="0.25">
      <c r="B32" s="14" t="s">
        <v>219</v>
      </c>
      <c r="C32" s="18">
        <v>30</v>
      </c>
      <c r="G32" s="1">
        <f>TRUNC(G37)</f>
        <v>0</v>
      </c>
    </row>
    <row r="33" spans="2:11" ht="15" x14ac:dyDescent="0.25">
      <c r="B33" s="14" t="s">
        <v>220</v>
      </c>
      <c r="C33" s="18">
        <v>30</v>
      </c>
    </row>
    <row r="34" spans="2:11" s="4" customFormat="1" ht="15" x14ac:dyDescent="0.25">
      <c r="B34" s="14" t="s">
        <v>113</v>
      </c>
      <c r="C34" s="69">
        <f>MEDIAN(C24,C25)</f>
        <v>5991.5</v>
      </c>
    </row>
    <row r="35" spans="2:11" s="4" customFormat="1" ht="15" x14ac:dyDescent="0.25">
      <c r="B35" s="14" t="s">
        <v>33</v>
      </c>
      <c r="C35" s="70">
        <v>0.08</v>
      </c>
      <c r="K35" s="4">
        <f>IF(C39&gt;12,C39-12,C39)</f>
        <v>12.839523233719124</v>
      </c>
    </row>
    <row r="36" spans="2:11" s="4" customFormat="1" ht="15" x14ac:dyDescent="0.25">
      <c r="B36" s="14" t="s">
        <v>114</v>
      </c>
      <c r="C36" s="70">
        <v>0.5</v>
      </c>
      <c r="K36" s="4" t="e">
        <f>IF(#REF!&gt;12,#REF!-12,#REF!)</f>
        <v>#REF!</v>
      </c>
    </row>
    <row r="37" spans="2:11" s="4" customFormat="1" ht="15" x14ac:dyDescent="0.25">
      <c r="B37" s="14" t="s">
        <v>115</v>
      </c>
      <c r="C37" s="116">
        <f>((1/C28)-TRUNC(E37))</f>
        <v>6.9960269476593506E-2</v>
      </c>
      <c r="D37" s="4">
        <f>TRUNC(E37)</f>
        <v>2</v>
      </c>
      <c r="E37" s="4">
        <f>1/C28</f>
        <v>2.0699602694765935</v>
      </c>
      <c r="F37" s="4">
        <f>((1/C28)-TRUNC(E37))</f>
        <v>6.9960269476593506E-2</v>
      </c>
      <c r="G37" s="4">
        <f>12*F37</f>
        <v>0.83952323371912208</v>
      </c>
      <c r="K37" s="4" t="e">
        <f>IF(#REF!&gt;12,#REF!-12,#REF!)</f>
        <v>#REF!</v>
      </c>
    </row>
    <row r="38" spans="2:11" s="4" customFormat="1" ht="15" x14ac:dyDescent="0.25">
      <c r="B38" s="12" t="s">
        <v>116</v>
      </c>
      <c r="C38" s="20">
        <f>30+D38</f>
        <v>36</v>
      </c>
      <c r="D38" s="4">
        <f>3*D37</f>
        <v>6</v>
      </c>
      <c r="G38" s="4">
        <f>G37/12*40/360</f>
        <v>7.7733632751770566E-3</v>
      </c>
      <c r="K38" s="4" t="e">
        <f>IF(#REF!&gt;12,#REF!-12,#REF!)</f>
        <v>#REF!</v>
      </c>
    </row>
    <row r="39" spans="2:11" s="4" customFormat="1" ht="15.75" thickBot="1" x14ac:dyDescent="0.3">
      <c r="B39" s="21" t="s">
        <v>223</v>
      </c>
      <c r="C39" s="117">
        <f>12/C28</f>
        <v>24.839523233719124</v>
      </c>
      <c r="K39" s="4" t="e">
        <f>IF(#REF!&gt;12,#REF!-12,#REF!)</f>
        <v>#REF!</v>
      </c>
    </row>
    <row r="40" spans="2:11" x14ac:dyDescent="0.2">
      <c r="K40" s="1" t="e">
        <f t="shared" ref="K40:K41" si="0">IF(K39&gt;12,K39-12,K39)</f>
        <v>#REF!</v>
      </c>
    </row>
    <row r="41" spans="2:11" x14ac:dyDescent="0.2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5" bestFit="1" customWidth="1"/>
    <col min="6" max="6" width="9.7109375" bestFit="1" customWidth="1"/>
  </cols>
  <sheetData>
    <row r="1" spans="1:8" s="9" customFormat="1" ht="14.25" x14ac:dyDescent="0.2">
      <c r="A1" s="3" t="s">
        <v>179</v>
      </c>
      <c r="B1" s="7"/>
      <c r="C1" s="7"/>
      <c r="E1" s="10"/>
    </row>
    <row r="2" spans="1:8" s="9" customFormat="1" ht="14.25" x14ac:dyDescent="0.2">
      <c r="A2" s="6" t="s">
        <v>224</v>
      </c>
      <c r="B2" s="7"/>
      <c r="C2" s="7"/>
      <c r="E2" s="10"/>
    </row>
    <row r="3" spans="1:8" s="9" customFormat="1" ht="14.25" x14ac:dyDescent="0.2">
      <c r="A3" s="2" t="s">
        <v>180</v>
      </c>
      <c r="B3" s="7"/>
      <c r="C3" s="7"/>
      <c r="E3" s="10"/>
    </row>
    <row r="4" spans="1:8" s="9" customFormat="1" ht="14.25" x14ac:dyDescent="0.2">
      <c r="A4" s="6"/>
      <c r="B4" s="7"/>
      <c r="C4" s="7"/>
      <c r="E4" s="10"/>
    </row>
    <row r="5" spans="1:8" s="9" customFormat="1" ht="15" thickBot="1" x14ac:dyDescent="0.25">
      <c r="B5" s="7"/>
      <c r="C5" s="7"/>
      <c r="E5" s="10"/>
    </row>
    <row r="6" spans="1:8" ht="15.75" x14ac:dyDescent="0.2">
      <c r="A6" s="321" t="s">
        <v>207</v>
      </c>
      <c r="B6" s="322"/>
      <c r="C6" s="322"/>
      <c r="D6" s="322"/>
      <c r="E6" s="322"/>
      <c r="F6" s="323"/>
    </row>
    <row r="7" spans="1:8" ht="16.5" thickBot="1" x14ac:dyDescent="0.25">
      <c r="A7" s="109"/>
      <c r="B7" s="110"/>
      <c r="C7" s="110"/>
      <c r="D7" s="110"/>
      <c r="E7" s="110"/>
      <c r="F7" s="111"/>
    </row>
    <row r="8" spans="1:8" ht="15" x14ac:dyDescent="0.25">
      <c r="A8" s="71"/>
      <c r="B8" s="8"/>
      <c r="C8" s="8"/>
      <c r="D8" s="318" t="s">
        <v>221</v>
      </c>
      <c r="E8" s="319"/>
      <c r="F8" s="320"/>
      <c r="G8" s="9"/>
      <c r="H8" s="9"/>
    </row>
    <row r="9" spans="1:8" ht="15" thickBot="1" x14ac:dyDescent="0.25">
      <c r="A9" s="67"/>
      <c r="B9" s="72"/>
      <c r="C9" s="72"/>
      <c r="D9" s="73" t="s">
        <v>167</v>
      </c>
      <c r="E9" s="74" t="s">
        <v>168</v>
      </c>
      <c r="F9" s="75" t="s">
        <v>169</v>
      </c>
      <c r="G9" s="9"/>
      <c r="H9" s="9"/>
    </row>
    <row r="10" spans="1:8" ht="14.25" x14ac:dyDescent="0.2">
      <c r="A10" s="76" t="s">
        <v>61</v>
      </c>
      <c r="B10" s="77" t="s">
        <v>62</v>
      </c>
      <c r="C10" s="78">
        <v>5.0799999999999998E-2</v>
      </c>
      <c r="D10" s="99">
        <v>2.9700000000000001E-2</v>
      </c>
      <c r="E10" s="100">
        <v>5.0799999999999998E-2</v>
      </c>
      <c r="F10" s="101">
        <v>6.2700000000000006E-2</v>
      </c>
      <c r="G10" s="9"/>
      <c r="H10" s="9"/>
    </row>
    <row r="11" spans="1:8" ht="14.25" x14ac:dyDescent="0.2">
      <c r="A11" s="80" t="s">
        <v>63</v>
      </c>
      <c r="B11" s="81" t="s">
        <v>64</v>
      </c>
      <c r="C11" s="82">
        <v>1.3299999999999999E-2</v>
      </c>
      <c r="D11" s="99">
        <f>0.3%+0.56%</f>
        <v>8.6E-3</v>
      </c>
      <c r="E11" s="100">
        <f>0.48%+0.85%</f>
        <v>1.3299999999999999E-2</v>
      </c>
      <c r="F11" s="101">
        <f>0.82%+0.89%</f>
        <v>1.7099999999999997E-2</v>
      </c>
      <c r="G11" s="9"/>
      <c r="H11" s="9"/>
    </row>
    <row r="12" spans="1:8" ht="14.25" x14ac:dyDescent="0.2">
      <c r="A12" s="80" t="s">
        <v>65</v>
      </c>
      <c r="B12" s="81" t="s">
        <v>66</v>
      </c>
      <c r="C12" s="82">
        <v>0.1085</v>
      </c>
      <c r="D12" s="99">
        <v>7.7799999999999994E-2</v>
      </c>
      <c r="E12" s="100">
        <v>0.1085</v>
      </c>
      <c r="F12" s="101">
        <v>0.13550000000000001</v>
      </c>
      <c r="G12" s="9"/>
      <c r="H12" s="9"/>
    </row>
    <row r="13" spans="1:8" ht="14.25" x14ac:dyDescent="0.2">
      <c r="A13" s="80" t="s">
        <v>67</v>
      </c>
      <c r="B13" s="81" t="s">
        <v>68</v>
      </c>
      <c r="C13" s="83">
        <f>(1+E13)^(E14/252)-1</f>
        <v>0</v>
      </c>
      <c r="D13" s="99" t="s">
        <v>240</v>
      </c>
      <c r="E13" s="84">
        <v>6.5000000000000002E-2</v>
      </c>
      <c r="F13" s="79"/>
      <c r="G13" s="9"/>
      <c r="H13" s="9"/>
    </row>
    <row r="14" spans="1:8" ht="14.25" x14ac:dyDescent="0.2">
      <c r="A14" s="80" t="s">
        <v>69</v>
      </c>
      <c r="B14" s="316" t="s">
        <v>70</v>
      </c>
      <c r="C14" s="82">
        <v>0.03</v>
      </c>
      <c r="D14" s="118" t="s">
        <v>170</v>
      </c>
      <c r="E14" s="85">
        <v>0</v>
      </c>
      <c r="F14" s="86"/>
      <c r="G14" s="9"/>
      <c r="H14" s="9"/>
    </row>
    <row r="15" spans="1:8" ht="15" thickBot="1" x14ac:dyDescent="0.25">
      <c r="A15" s="87" t="s">
        <v>71</v>
      </c>
      <c r="B15" s="317"/>
      <c r="C15" s="88">
        <v>9.2499999999999999E-2</v>
      </c>
      <c r="D15" s="61"/>
      <c r="E15" s="89"/>
      <c r="F15" s="86"/>
      <c r="G15" s="9"/>
      <c r="H15" s="9"/>
    </row>
    <row r="16" spans="1:8" ht="14.25" x14ac:dyDescent="0.2">
      <c r="A16" s="90" t="s">
        <v>72</v>
      </c>
      <c r="B16" s="91"/>
      <c r="C16" s="92"/>
      <c r="D16" s="61"/>
      <c r="E16" s="89"/>
      <c r="F16" s="86"/>
      <c r="G16" s="9"/>
      <c r="H16" s="9"/>
    </row>
    <row r="17" spans="1:8" ht="15" thickBot="1" x14ac:dyDescent="0.25">
      <c r="A17" s="93" t="s">
        <v>73</v>
      </c>
      <c r="B17" s="94"/>
      <c r="C17" s="95"/>
      <c r="D17" s="61"/>
      <c r="E17" s="89"/>
      <c r="F17" s="86"/>
      <c r="G17" s="9"/>
      <c r="H17" s="9"/>
    </row>
    <row r="18" spans="1:8" ht="15.75" thickBot="1" x14ac:dyDescent="0.25">
      <c r="A18" s="96" t="s">
        <v>74</v>
      </c>
      <c r="B18" s="97"/>
      <c r="C18" s="98">
        <f>ROUND((((1+C10+C11)*(1+C12)*(1+C13))/(1-(C14+C15))-1),4)</f>
        <v>0.34420000000000001</v>
      </c>
      <c r="D18" s="102">
        <v>0.21429999999999999</v>
      </c>
      <c r="E18" s="103">
        <v>0.2717</v>
      </c>
      <c r="F18" s="104">
        <v>0.3362</v>
      </c>
      <c r="G18" s="9"/>
      <c r="H18" s="9"/>
    </row>
    <row r="19" spans="1:8" ht="14.25" x14ac:dyDescent="0.2">
      <c r="A19" s="9"/>
      <c r="B19" s="9"/>
      <c r="C19" s="9"/>
      <c r="D19" s="9"/>
      <c r="E19" s="10"/>
      <c r="F19" s="9"/>
      <c r="G19" s="9"/>
      <c r="H19" s="9"/>
    </row>
    <row r="20" spans="1:8" ht="14.25" x14ac:dyDescent="0.2">
      <c r="A20" s="9"/>
      <c r="B20" s="9"/>
      <c r="C20" s="9"/>
      <c r="D20" s="9"/>
      <c r="E20" s="10"/>
      <c r="F20" s="9"/>
      <c r="G20" s="9"/>
      <c r="H20" s="9"/>
    </row>
    <row r="21" spans="1:8" ht="14.25" x14ac:dyDescent="0.2">
      <c r="A21" s="9"/>
      <c r="B21" s="9"/>
      <c r="C21" s="9"/>
      <c r="D21" s="9"/>
      <c r="E21" s="10"/>
      <c r="F21" s="9"/>
      <c r="G21" s="9"/>
      <c r="H21" s="9"/>
    </row>
    <row r="22" spans="1:8" ht="14.25" x14ac:dyDescent="0.2">
      <c r="A22" s="9"/>
      <c r="B22" s="9"/>
      <c r="C22" s="9"/>
      <c r="D22" s="9"/>
      <c r="E22" s="10"/>
      <c r="F22" s="9"/>
      <c r="G22" s="9"/>
      <c r="H22" s="9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24" t="s">
        <v>209</v>
      </c>
      <c r="B1" s="325"/>
    </row>
    <row r="2" spans="1:2" s="4" customFormat="1" ht="19.5" customHeight="1" x14ac:dyDescent="0.2">
      <c r="A2" s="112" t="s">
        <v>188</v>
      </c>
      <c r="B2" s="113" t="s">
        <v>241</v>
      </c>
    </row>
    <row r="3" spans="1:2" ht="19.5" customHeight="1" x14ac:dyDescent="0.2">
      <c r="A3" s="23">
        <v>1</v>
      </c>
      <c r="B3" s="22">
        <v>33.629999999999995</v>
      </c>
    </row>
    <row r="4" spans="1:2" ht="19.5" customHeight="1" x14ac:dyDescent="0.2">
      <c r="A4" s="23">
        <v>2</v>
      </c>
      <c r="B4" s="22">
        <v>43.13</v>
      </c>
    </row>
    <row r="5" spans="1:2" ht="19.5" customHeight="1" x14ac:dyDescent="0.2">
      <c r="A5" s="23">
        <v>3</v>
      </c>
      <c r="B5" s="22">
        <v>48.68</v>
      </c>
    </row>
    <row r="6" spans="1:2" ht="19.5" customHeight="1" x14ac:dyDescent="0.2">
      <c r="A6" s="23">
        <v>4</v>
      </c>
      <c r="B6" s="22">
        <v>52.62</v>
      </c>
    </row>
    <row r="7" spans="1:2" ht="19.5" customHeight="1" x14ac:dyDescent="0.2">
      <c r="A7" s="23">
        <v>5</v>
      </c>
      <c r="B7" s="22">
        <v>55.679999999999993</v>
      </c>
    </row>
    <row r="8" spans="1:2" ht="19.5" customHeight="1" x14ac:dyDescent="0.2">
      <c r="A8" s="23">
        <v>6</v>
      </c>
      <c r="B8" s="22">
        <v>58.18</v>
      </c>
    </row>
    <row r="9" spans="1:2" ht="19.5" customHeight="1" x14ac:dyDescent="0.2">
      <c r="A9" s="23">
        <v>7</v>
      </c>
      <c r="B9" s="22">
        <v>60.29</v>
      </c>
    </row>
    <row r="10" spans="1:2" ht="19.5" customHeight="1" x14ac:dyDescent="0.2">
      <c r="A10" s="23">
        <v>8</v>
      </c>
      <c r="B10" s="22">
        <v>62.12</v>
      </c>
    </row>
    <row r="11" spans="1:2" ht="19.5" customHeight="1" x14ac:dyDescent="0.2">
      <c r="A11" s="23">
        <v>9</v>
      </c>
      <c r="B11" s="22">
        <v>63.73</v>
      </c>
    </row>
    <row r="12" spans="1:2" ht="19.5" customHeight="1" x14ac:dyDescent="0.2">
      <c r="A12" s="23">
        <v>10</v>
      </c>
      <c r="B12" s="22">
        <v>65.180000000000007</v>
      </c>
    </row>
    <row r="13" spans="1:2" ht="19.5" customHeight="1" x14ac:dyDescent="0.2">
      <c r="A13" s="23">
        <v>11</v>
      </c>
      <c r="B13" s="22">
        <v>66.47999999999999</v>
      </c>
    </row>
    <row r="14" spans="1:2" ht="19.5" customHeight="1" x14ac:dyDescent="0.2">
      <c r="A14" s="23">
        <v>12</v>
      </c>
      <c r="B14" s="22">
        <v>67.67</v>
      </c>
    </row>
    <row r="15" spans="1:2" ht="19.5" customHeight="1" x14ac:dyDescent="0.2">
      <c r="A15" s="23">
        <v>13</v>
      </c>
      <c r="B15" s="22">
        <v>68.77</v>
      </c>
    </row>
    <row r="16" spans="1:2" ht="19.5" customHeight="1" x14ac:dyDescent="0.2">
      <c r="A16" s="23">
        <v>14</v>
      </c>
      <c r="B16" s="22">
        <v>69.789999999999992</v>
      </c>
    </row>
    <row r="17" spans="1:2" ht="19.5" customHeight="1" thickBot="1" x14ac:dyDescent="0.25">
      <c r="A17" s="24">
        <v>15</v>
      </c>
      <c r="B17" s="25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108" t="s">
        <v>213</v>
      </c>
    </row>
    <row r="2" spans="1:1" x14ac:dyDescent="0.2">
      <c r="A2" s="105"/>
    </row>
    <row r="3" spans="1:1" x14ac:dyDescent="0.2">
      <c r="A3" s="105" t="s">
        <v>225</v>
      </c>
    </row>
    <row r="4" spans="1:1" x14ac:dyDescent="0.2">
      <c r="A4" s="105"/>
    </row>
    <row r="5" spans="1:1" x14ac:dyDescent="0.2">
      <c r="A5" s="105"/>
    </row>
    <row r="6" spans="1:1" x14ac:dyDescent="0.2">
      <c r="A6" s="105"/>
    </row>
    <row r="7" spans="1:1" x14ac:dyDescent="0.2">
      <c r="A7" s="105"/>
    </row>
    <row r="8" spans="1:1" x14ac:dyDescent="0.2">
      <c r="A8" s="105"/>
    </row>
    <row r="9" spans="1:1" x14ac:dyDescent="0.2">
      <c r="A9" s="105"/>
    </row>
    <row r="10" spans="1:1" x14ac:dyDescent="0.2">
      <c r="A10" s="105"/>
    </row>
    <row r="11" spans="1:1" x14ac:dyDescent="0.2">
      <c r="A11" s="105"/>
    </row>
    <row r="12" spans="1:1" ht="19.5" x14ac:dyDescent="0.35">
      <c r="A12" s="106" t="s">
        <v>210</v>
      </c>
    </row>
    <row r="13" spans="1:1" ht="15" x14ac:dyDescent="0.2">
      <c r="A13" s="106" t="s">
        <v>84</v>
      </c>
    </row>
    <row r="14" spans="1:1" ht="15" x14ac:dyDescent="0.2">
      <c r="A14" s="106" t="s">
        <v>89</v>
      </c>
    </row>
    <row r="15" spans="1:1" ht="19.5" x14ac:dyDescent="0.35">
      <c r="A15" s="106" t="s">
        <v>211</v>
      </c>
    </row>
    <row r="16" spans="1:1" ht="19.5" x14ac:dyDescent="0.35">
      <c r="A16" s="106" t="s">
        <v>212</v>
      </c>
    </row>
    <row r="17" spans="1:1" ht="15.75" thickBot="1" x14ac:dyDescent="0.25">
      <c r="A17" s="107" t="s">
        <v>85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1. Triagem e Transbordo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  <vt:lpstr>'1. Triagem e Transbordo'!Area_de_impressao</vt:lpstr>
      <vt:lpstr>'2.Encargos Sociais'!Area_de_impressao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pmsap pmsap</cp:lastModifiedBy>
  <cp:lastPrinted>2018-10-26T15:42:01Z</cp:lastPrinted>
  <dcterms:created xsi:type="dcterms:W3CDTF">2000-12-13T10:02:50Z</dcterms:created>
  <dcterms:modified xsi:type="dcterms:W3CDTF">2018-11-23T10:52:48Z</dcterms:modified>
</cp:coreProperties>
</file>